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Системний блок2024\Ольга\Воскресенська громада  2025 рік\РІШЕННЯ ПРО ЗМІНИ ДО БЮДЖЕТУ 2025 РОКУ\Рішення сесії №  від 30.10.2025р\"/>
    </mc:Choice>
  </mc:AlternateContent>
  <bookViews>
    <workbookView xWindow="0" yWindow="0" windowWidth="28800" windowHeight="14100"/>
  </bookViews>
  <sheets>
    <sheet name="Лист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7" i="1" l="1"/>
  <c r="K17" i="1"/>
  <c r="J17" i="1"/>
  <c r="E22" i="1"/>
  <c r="P43" i="1" l="1"/>
  <c r="G42" i="1"/>
  <c r="F43" i="1"/>
  <c r="E42" i="1"/>
  <c r="E32" i="1"/>
  <c r="E21" i="1"/>
  <c r="E19" i="1"/>
  <c r="H17" i="1" l="1"/>
  <c r="F68" i="1"/>
  <c r="K67" i="1"/>
  <c r="L16" i="1" l="1"/>
  <c r="M16" i="1"/>
  <c r="N16" i="1"/>
  <c r="E68" i="1"/>
  <c r="E56" i="1"/>
  <c r="E45" i="1"/>
  <c r="E33" i="1"/>
  <c r="E27" i="1"/>
  <c r="E24" i="1"/>
  <c r="E20" i="1"/>
  <c r="E17" i="1"/>
  <c r="M30" i="1" l="1"/>
  <c r="G34" i="1" l="1"/>
  <c r="L30" i="1" l="1"/>
  <c r="P41" i="1"/>
  <c r="P39" i="1" l="1"/>
  <c r="E67" i="1" l="1"/>
  <c r="F67" i="1" s="1"/>
  <c r="K63" i="1"/>
  <c r="K62" i="1" s="1"/>
  <c r="L63" i="1"/>
  <c r="L62" i="1" s="1"/>
  <c r="M63" i="1"/>
  <c r="M62" i="1" s="1"/>
  <c r="N63" i="1"/>
  <c r="N62" i="1" s="1"/>
  <c r="O63" i="1"/>
  <c r="O62" i="1" s="1"/>
  <c r="J63" i="1"/>
  <c r="J62" i="1" s="1"/>
  <c r="O33" i="1"/>
  <c r="K33" i="1"/>
  <c r="J33" i="1"/>
  <c r="O32" i="1"/>
  <c r="K32" i="1"/>
  <c r="J32" i="1"/>
  <c r="E34" i="1"/>
  <c r="E18" i="1" l="1"/>
  <c r="O18" i="1" l="1"/>
  <c r="K18" i="1"/>
  <c r="J18" i="1"/>
  <c r="O20" i="1"/>
  <c r="K20" i="1"/>
  <c r="J20" i="1"/>
  <c r="O45" i="1"/>
  <c r="K45" i="1"/>
  <c r="J45" i="1"/>
  <c r="J30" i="1" s="1"/>
  <c r="G53" i="1"/>
  <c r="E53" i="1"/>
  <c r="G49" i="1"/>
  <c r="E49" i="1"/>
  <c r="E58" i="1"/>
  <c r="E51" i="1" l="1"/>
  <c r="O60" i="1" l="1"/>
  <c r="O59" i="1" s="1"/>
  <c r="K60" i="1"/>
  <c r="K59" i="1" s="1"/>
  <c r="J60" i="1"/>
  <c r="J59" i="1" s="1"/>
  <c r="O30" i="1"/>
  <c r="K30" i="1"/>
  <c r="N30" i="1"/>
  <c r="P40" i="1"/>
  <c r="G35" i="1"/>
  <c r="G61" i="1"/>
  <c r="F65" i="1"/>
  <c r="E65" i="1"/>
  <c r="H33" i="1"/>
  <c r="E35" i="1"/>
  <c r="E61" i="1"/>
  <c r="P65" i="1" l="1"/>
  <c r="H45" i="1" l="1"/>
  <c r="H32" i="1"/>
  <c r="G32" i="1"/>
  <c r="G33" i="1"/>
  <c r="I30" i="1"/>
  <c r="P46" i="1"/>
  <c r="F46" i="1"/>
  <c r="E44" i="1"/>
  <c r="E37" i="1"/>
  <c r="E30" i="1" s="1"/>
  <c r="P30" i="1" s="1"/>
  <c r="H35" i="1"/>
  <c r="H30" i="1" l="1"/>
  <c r="P24" i="1"/>
  <c r="O19" i="1" l="1"/>
  <c r="J19" i="1"/>
  <c r="K19" i="1"/>
  <c r="E64" i="1" l="1"/>
  <c r="E63" i="1" s="1"/>
  <c r="O25" i="1" l="1"/>
  <c r="O16" i="1" s="1"/>
  <c r="K25" i="1"/>
  <c r="K16" i="1" s="1"/>
  <c r="J25" i="1"/>
  <c r="J16" i="1" s="1"/>
  <c r="E16" i="1"/>
  <c r="F24" i="1"/>
  <c r="G16" i="1"/>
  <c r="H16" i="1"/>
  <c r="I16" i="1"/>
  <c r="K29" i="1" l="1"/>
  <c r="I68" i="1"/>
  <c r="G45" i="1"/>
  <c r="G30" i="1" s="1"/>
  <c r="P53" i="1" l="1"/>
  <c r="P68" i="1"/>
  <c r="P23" i="1"/>
  <c r="P25" i="1"/>
  <c r="H48" i="1"/>
  <c r="I48" i="1"/>
  <c r="L29" i="1" l="1"/>
  <c r="M29" i="1"/>
  <c r="N29" i="1"/>
  <c r="O29" i="1"/>
  <c r="J29" i="1"/>
  <c r="K15" i="1"/>
  <c r="K69" i="1" s="1"/>
  <c r="L15" i="1"/>
  <c r="M15" i="1"/>
  <c r="N15" i="1"/>
  <c r="O15" i="1"/>
  <c r="J15" i="1"/>
  <c r="G48" i="1"/>
  <c r="E48" i="1"/>
  <c r="G63" i="1"/>
  <c r="G62" i="1" s="1"/>
  <c r="H63" i="1"/>
  <c r="H62" i="1" s="1"/>
  <c r="I63" i="1"/>
  <c r="I62" i="1" s="1"/>
  <c r="I69" i="1" s="1"/>
  <c r="F53" i="1"/>
  <c r="P21" i="1"/>
  <c r="F21" i="1"/>
  <c r="N69" i="1" l="1"/>
  <c r="M69" i="1"/>
  <c r="L69" i="1"/>
  <c r="J69" i="1"/>
  <c r="O69" i="1"/>
  <c r="P38" i="1"/>
  <c r="P42" i="1"/>
  <c r="F42" i="1" l="1"/>
  <c r="F32" i="1"/>
  <c r="F33" i="1"/>
  <c r="F34" i="1"/>
  <c r="F35" i="1"/>
  <c r="F36" i="1"/>
  <c r="F37" i="1"/>
  <c r="F38" i="1"/>
  <c r="F44" i="1"/>
  <c r="F45" i="1"/>
  <c r="E62" i="1" l="1"/>
  <c r="F64" i="1"/>
  <c r="F63" i="1" s="1"/>
  <c r="G60" i="1"/>
  <c r="G59" i="1" s="1"/>
  <c r="E60" i="1"/>
  <c r="E59" i="1" s="1"/>
  <c r="F61" i="1"/>
  <c r="F60" i="1" s="1"/>
  <c r="F59" i="1" s="1"/>
  <c r="G47" i="1"/>
  <c r="E47" i="1"/>
  <c r="F50" i="1"/>
  <c r="F51" i="1"/>
  <c r="F52" i="1"/>
  <c r="F54" i="1"/>
  <c r="F55" i="1"/>
  <c r="F56" i="1"/>
  <c r="F57" i="1"/>
  <c r="F58" i="1"/>
  <c r="F49" i="1"/>
  <c r="F18" i="1"/>
  <c r="F19" i="1"/>
  <c r="F20" i="1"/>
  <c r="F22" i="1"/>
  <c r="F26" i="1"/>
  <c r="F27" i="1"/>
  <c r="F28" i="1"/>
  <c r="G29" i="1"/>
  <c r="H29" i="1"/>
  <c r="E29" i="1"/>
  <c r="F31" i="1"/>
  <c r="F30" i="1" s="1"/>
  <c r="F29" i="1" l="1"/>
  <c r="F48" i="1"/>
  <c r="F47" i="1" s="1"/>
  <c r="F62" i="1"/>
  <c r="H15" i="1"/>
  <c r="H69" i="1" s="1"/>
  <c r="G15" i="1"/>
  <c r="G69" i="1" s="1"/>
  <c r="P16" i="1"/>
  <c r="F17" i="1"/>
  <c r="F16" i="1" s="1"/>
  <c r="P67" i="1"/>
  <c r="P66" i="1"/>
  <c r="P64" i="1"/>
  <c r="P63" i="1"/>
  <c r="P62" i="1"/>
  <c r="P61" i="1"/>
  <c r="P60" i="1"/>
  <c r="P59" i="1"/>
  <c r="P58" i="1"/>
  <c r="P57" i="1"/>
  <c r="P56" i="1"/>
  <c r="P55" i="1"/>
  <c r="P54" i="1"/>
  <c r="P52" i="1"/>
  <c r="P51" i="1"/>
  <c r="P50" i="1"/>
  <c r="P49" i="1"/>
  <c r="P48" i="1"/>
  <c r="P47" i="1"/>
  <c r="P45" i="1"/>
  <c r="P44" i="1"/>
  <c r="P37" i="1"/>
  <c r="P36" i="1"/>
  <c r="P35" i="1"/>
  <c r="P34" i="1"/>
  <c r="P33" i="1"/>
  <c r="P32" i="1"/>
  <c r="P31" i="1"/>
  <c r="P29" i="1"/>
  <c r="P28" i="1"/>
  <c r="P27" i="1"/>
  <c r="P26" i="1"/>
  <c r="P22" i="1"/>
  <c r="P20" i="1"/>
  <c r="P19" i="1"/>
  <c r="P18" i="1"/>
  <c r="P17" i="1"/>
  <c r="F15" i="1" l="1"/>
  <c r="F69" i="1" s="1"/>
  <c r="E15" i="1"/>
  <c r="E69" i="1" s="1"/>
  <c r="P69" i="1" s="1"/>
  <c r="P15" i="1" l="1"/>
</calcChain>
</file>

<file path=xl/sharedStrings.xml><?xml version="1.0" encoding="utf-8"?>
<sst xmlns="http://schemas.openxmlformats.org/spreadsheetml/2006/main" count="237" uniqueCount="178">
  <si>
    <t>Додаток 3</t>
  </si>
  <si>
    <t>РОЗПОДІЛ</t>
  </si>
  <si>
    <t>1450500000</t>
  </si>
  <si>
    <t>(код бюджету)</t>
  </si>
  <si>
    <t>(грн.)</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</si>
  <si>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</si>
  <si>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</si>
  <si>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</si>
  <si>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Найменування головного розпорядника коштів місцевого бюджету/ відповідального виконавця, найменування бюджетної програми згідно з Типовою програмною класифікацією видатків та кредитування місцевого бюджету</t>
  </si>
  <si>
    <t>Загальний фонд</t>
  </si>
  <si>
    <t>усього</t>
  </si>
  <si>
    <t>видатки споживання</t>
  </si>
  <si>
    <t>з них</t>
  </si>
  <si>
    <t>оплата праці</t>
  </si>
  <si>
    <t>комунальні послуги та енергоносії</t>
  </si>
  <si>
    <t>видатки розвитку</t>
  </si>
  <si>
    <t>Спеціальний фонд</t>
  </si>
  <si>
    <t>у тому числі бюджет розвитку</t>
  </si>
  <si>
    <t>РАЗОМ</t>
  </si>
  <si>
    <t>0100000</t>
  </si>
  <si>
    <t/>
  </si>
  <si>
    <t>Воскресенська селищна рада</t>
  </si>
  <si>
    <t>0110000</t>
  </si>
  <si>
    <t>0110150</t>
  </si>
  <si>
    <t>0150</t>
  </si>
  <si>
    <t>0111</t>
  </si>
  <si>
    <t>Організаційне, інформаційно-аналітичне та матеріально-технічне забезпечення діяльності обласної ради, районної ради, районної у місті ради (у разі її створення), міської, селищної, сільської рад</t>
  </si>
  <si>
    <t>0116013</t>
  </si>
  <si>
    <t>6013</t>
  </si>
  <si>
    <t>0620</t>
  </si>
  <si>
    <t>Забезпечення діяльності водопровідно-каналізаційного господарства</t>
  </si>
  <si>
    <t>0116020</t>
  </si>
  <si>
    <t>6020</t>
  </si>
  <si>
    <t>Забезпечення функціонування підприємств, установ та організацій, що виробляють, виконують та/або надають житлово-комунальні послуги</t>
  </si>
  <si>
    <t>0116030</t>
  </si>
  <si>
    <t>6030</t>
  </si>
  <si>
    <t>Організація благоустрою населених пунктів</t>
  </si>
  <si>
    <t>0117130</t>
  </si>
  <si>
    <t>7130</t>
  </si>
  <si>
    <t>0421</t>
  </si>
  <si>
    <t>Здійснення заходів із землеустрою</t>
  </si>
  <si>
    <t>0118110</t>
  </si>
  <si>
    <t>8110</t>
  </si>
  <si>
    <t>0320</t>
  </si>
  <si>
    <t>Заходи із запобігання та ліквідації надзвичайних ситуацій та наслідків стихійного лиха</t>
  </si>
  <si>
    <t>0118130</t>
  </si>
  <si>
    <t>8130</t>
  </si>
  <si>
    <t>Забезпечення діяльності місцевої та добровільної пожежної охорони</t>
  </si>
  <si>
    <t>0118340</t>
  </si>
  <si>
    <t>8340</t>
  </si>
  <si>
    <t>0540</t>
  </si>
  <si>
    <t>Природоохоронні заходи за рахунок цільових фондів</t>
  </si>
  <si>
    <t>0600000</t>
  </si>
  <si>
    <t>0610000</t>
  </si>
  <si>
    <t>0610160</t>
  </si>
  <si>
    <t>0160</t>
  </si>
  <si>
    <t>Керівництво і управління у відповідній сфері у містах (місті Києві), селищах, селах, територіальних громадах</t>
  </si>
  <si>
    <t>0611010</t>
  </si>
  <si>
    <t>1010</t>
  </si>
  <si>
    <t>0910</t>
  </si>
  <si>
    <t>Надання дошкільної освіти</t>
  </si>
  <si>
    <t>0611021</t>
  </si>
  <si>
    <t>1021</t>
  </si>
  <si>
    <t>0921</t>
  </si>
  <si>
    <t>Надання загальної середньої освіти закладами загальної середньої освіти за рахунок коштів місцевого бюджету</t>
  </si>
  <si>
    <t>0611031</t>
  </si>
  <si>
    <t>1031</t>
  </si>
  <si>
    <t>Надання загальної середньої освіти закладами загальної середньої освіти за рахунок освітньої субвенції</t>
  </si>
  <si>
    <t>0611080</t>
  </si>
  <si>
    <t>1080</t>
  </si>
  <si>
    <t>0960</t>
  </si>
  <si>
    <t>Надання спеціалізованої освіти мистецькими школами</t>
  </si>
  <si>
    <t>0611141</t>
  </si>
  <si>
    <t>1141</t>
  </si>
  <si>
    <t>0990</t>
  </si>
  <si>
    <t>Забезпечення діяльності інших закладів у сфері освіти</t>
  </si>
  <si>
    <t>0611142</t>
  </si>
  <si>
    <t>1142</t>
  </si>
  <si>
    <t>Інші програми та заходи у сфері освіти</t>
  </si>
  <si>
    <t>0614030</t>
  </si>
  <si>
    <t>4030</t>
  </si>
  <si>
    <t>0824</t>
  </si>
  <si>
    <t>Забезпечення діяльності бібліотек</t>
  </si>
  <si>
    <t>0614060</t>
  </si>
  <si>
    <t>4060</t>
  </si>
  <si>
    <t>0828</t>
  </si>
  <si>
    <t>Забезпечення діяльності палаців i будинків культури, клубів, центрів дозвілля та iнших клубних закладів</t>
  </si>
  <si>
    <t>0800000</t>
  </si>
  <si>
    <t>Відділ соціального захисту населення Воскресенської селищної ради</t>
  </si>
  <si>
    <t>0810000</t>
  </si>
  <si>
    <t>0810160</t>
  </si>
  <si>
    <t>0813035</t>
  </si>
  <si>
    <t>3035</t>
  </si>
  <si>
    <t>1070</t>
  </si>
  <si>
    <t>Компенсаційні виплати за пільговий проїзд окремих категорій громадян на залізничному транспорті</t>
  </si>
  <si>
    <t>0813050</t>
  </si>
  <si>
    <t>3050</t>
  </si>
  <si>
    <t>Пільгове медичне обслуговування осіб, які постраждали внаслідок Чорнобильської катастрофи</t>
  </si>
  <si>
    <t>0813090</t>
  </si>
  <si>
    <t>3090</t>
  </si>
  <si>
    <t>1030</t>
  </si>
  <si>
    <t>Видатки на поховання учасників бойових дій та осіб з інвалідністю внаслідок війни</t>
  </si>
  <si>
    <t>0813160</t>
  </si>
  <si>
    <t>3160</t>
  </si>
  <si>
    <t>Надання соціальних гарантій фізичним особам, які надають соціальні послуги громадянам похилого віку, особам з інвалідністю, дітям з інвалідністю, хворим, які не здатні до самообслуговування і потребують сторонньої допомоги</t>
  </si>
  <si>
    <t>0813171</t>
  </si>
  <si>
    <t>3171</t>
  </si>
  <si>
    <t>Компенсаційні виплати особам з інвалідністю на бензин, ремонт, технічне обслуговування автомобілів, мотоколясок і на транспортне обслуговування</t>
  </si>
  <si>
    <t>0813191</t>
  </si>
  <si>
    <t>3191</t>
  </si>
  <si>
    <t>Інші видатки на соціальний захист ветеранів війни та праці</t>
  </si>
  <si>
    <t>0813242</t>
  </si>
  <si>
    <t>3242</t>
  </si>
  <si>
    <t>Інші заходи у сфері соціального захисту і соціального забезпечення</t>
  </si>
  <si>
    <t>0900000</t>
  </si>
  <si>
    <t>Служба у справах дітей Воскресенської селищної ради</t>
  </si>
  <si>
    <t>0910000</t>
  </si>
  <si>
    <t>0910160</t>
  </si>
  <si>
    <t>3700000</t>
  </si>
  <si>
    <t>Фінансовий відділ Воскресенської селищної ради</t>
  </si>
  <si>
    <t>3710000</t>
  </si>
  <si>
    <t>3710160</t>
  </si>
  <si>
    <t>3718710</t>
  </si>
  <si>
    <t>8710</t>
  </si>
  <si>
    <t>0133</t>
  </si>
  <si>
    <t>Резервний фонд місцевого бюджету</t>
  </si>
  <si>
    <t>3719770</t>
  </si>
  <si>
    <t>9770</t>
  </si>
  <si>
    <t>0180</t>
  </si>
  <si>
    <t>Інші субвенції з місцевого бюджету</t>
  </si>
  <si>
    <t>УСЬОГО</t>
  </si>
  <si>
    <t>X</t>
  </si>
  <si>
    <t>до рішення Воскресенської селищної ради</t>
  </si>
  <si>
    <t>Здійснювач повноважень</t>
  </si>
  <si>
    <t>селищного голови,</t>
  </si>
  <si>
    <t>секретар селищної ради</t>
  </si>
  <si>
    <t>Начальник фінансового відділу</t>
  </si>
  <si>
    <t>Аліна ОРЛОВА</t>
  </si>
  <si>
    <t>Ольга КОВАЛЕНКО</t>
  </si>
  <si>
    <t>видатків  бюджету Воскресенської селищної територіальної громади на 2025 рік</t>
  </si>
  <si>
    <t xml:space="preserve">"Про внесення змін до бюджету Воскресенської селищної </t>
  </si>
  <si>
    <t>Проведення (надання) додаткових психолого-педагогічних і корекційно-розвиткових занять (послуг) за рахунок субвенції з державного бюджету місцевим бюджетам на надання державної підтримки особам з особливими освітніми потребами</t>
  </si>
  <si>
    <t>-</t>
  </si>
  <si>
    <t>0611200</t>
  </si>
  <si>
    <t>0611600</t>
  </si>
  <si>
    <t>1600</t>
  </si>
  <si>
    <t>Здійснення доплат педагогічним працівникам закладів загальної середньої освіти за рахунок субвенції з державного бюджету місцевим бюджетам</t>
  </si>
  <si>
    <t>0117330</t>
  </si>
  <si>
    <t>0117650</t>
  </si>
  <si>
    <t>0443</t>
  </si>
  <si>
    <t>0490</t>
  </si>
  <si>
    <t>Проведення експертної грошової оцінки земельної ділянки чи права на неї</t>
  </si>
  <si>
    <t>Будівництво інших об'єктів комунальної власності</t>
  </si>
  <si>
    <t>Відшкодування різниці між розміром ціни (тарифу) на теплову енергію, у тому числі її виробництво, транспортування та постачання, комунальні послуги, що затверджувалися або погоджувалися рішенням місцевого органу виконавчої влади та органу місцевого самоврядування, та розміром економічно обґрунтованих витрат на їх виробництво (надання)</t>
  </si>
  <si>
    <t>0640</t>
  </si>
  <si>
    <t xml:space="preserve">Здійснення соціальної роботи та надання соціальних послуг центрами соціальних служб та центрами надання соціальних послуг особам/сім’ям, які належать до вразливих груп населення та/або перебувають у складних життєвих обставинах </t>
  </si>
  <si>
    <t>Субвенція з місцевого бюджету державному бюджету на виконання програм соціально-економічного розвитку регіонів</t>
  </si>
  <si>
    <t>0117370</t>
  </si>
  <si>
    <t>Реалізація інших заходів щодо соціально-економічного розвитку територій</t>
  </si>
  <si>
    <t>3718500</t>
  </si>
  <si>
    <t>8500</t>
  </si>
  <si>
    <t>Нерозподілені трансферти з державного бюджету</t>
  </si>
  <si>
    <t>територіальної громади на 2025 рік"</t>
  </si>
  <si>
    <t>0614082</t>
  </si>
  <si>
    <t>Інші заходи в галузі культури і мистецтва</t>
  </si>
  <si>
    <t>0829</t>
  </si>
  <si>
    <t>0611300</t>
  </si>
  <si>
    <t>Будівництво освітніх установ та закладів</t>
  </si>
  <si>
    <t xml:space="preserve">Відділ освіти, культури, молоді та спорту Воскресенської селищної ради </t>
  </si>
  <si>
    <t>0611279</t>
  </si>
  <si>
    <t>Реалізація заходів за рахунок освітньої субвенції з державного бюджету місцевим бюджетам (за спеціальним фондом державного бюджету) на забезпечення харчуванням учнів закладів загальної середньої освіти</t>
  </si>
  <si>
    <t>0611501</t>
  </si>
  <si>
    <t>Проведення (надання) додаткових психолого-педагогічних і корекційно-розвиткових занять (послуг) за рахунок субвенції з державного бюджету місцевим бюджетам на надання державної підтримки особам з особливими освітніми потребами (за спеціальним фондом державного бюджету)</t>
  </si>
  <si>
    <t>0611702</t>
  </si>
  <si>
    <t>1702</t>
  </si>
  <si>
    <t>Забезпечення  харчуванням учнів закладів загальної середньої освіти за рахунок субвенції з державного бюджету місцевим бюджетам</t>
  </si>
  <si>
    <t>Забезпечення діяльності фахівців із супроводу ветеранів війни та демобілізованих осіб та окремі заходи з підтримки осіб, які захищали незалежність, суверенітет та територіальну цілісність України</t>
  </si>
  <si>
    <t>LХХVІІІ позачергова сесія 8 скликання від 30.10.2025р. № 11</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</si>
</sst>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quot;-&quot;"/>
  </numFmts>
  <fonts count="8" x14ac:knownFonts="1">
    <font>
      <sz val="10"/>
      <color theme="1"/>
      <name val="Calibri"/>
      <family val="2"/>
      <charset val="204"/>
      <scheme val="minor"/>
    </font>
    <font>
      <b/>
      <u/>
      <sz val="10"/>
      <color theme="1"/>
      <name val="Calibri"/>
      <family val="2"/>
      <charset val="204"/>
      <scheme val="minor"/>
    </font>
    <font>
      <sz val="8"/>
      <color theme="1"/>
      <name val="Calibri"/>
      <family val="2"/>
      <charset val="204"/>
      <scheme val="minor"/>
    </font>
    <font>
      <i/>
      <sz val="10"/>
      <color theme="1"/>
      <name val="Calibri"/>
      <family val="2"/>
      <charset val="204"/>
      <scheme val="minor"/>
    </font>
    <font>
      <b/>
      <sz val="12"/>
      <color theme="1"/>
      <name val="Calibri"/>
      <family val="2"/>
      <charset val="204"/>
      <scheme val="minor"/>
    </font>
    <font>
      <sz val="12"/>
      <color theme="1"/>
      <name val="Calibri"/>
      <family val="2"/>
      <charset val="204"/>
      <scheme val="minor"/>
    </font>
    <font>
      <b/>
      <sz val="14"/>
      <color theme="1"/>
      <name val="Calibri"/>
      <family val="2"/>
      <charset val="204"/>
      <scheme val="minor"/>
    </font>
    <font>
      <sz val="11"/>
      <color theme="1"/>
      <name val="Calibri"/>
      <family val="2"/>
      <charset val="204"/>
      <scheme val="minor"/>
    </font>
  </fonts>
  <fills count="3">
    <fill>
      <patternFill patternType="none"/>
    </fill>
    <fill>
      <patternFill patternType="gray125"/>
    </fill>
    <fill>
      <patternFill patternType="solid">
        <fgColor indexed="41"/>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8">
    <xf numFmtId="0" fontId="0" fillId="0" borderId="0" xfId="0"/>
    <xf numFmtId="0" fontId="1" fillId="0" borderId="0" xfId="0" quotePrefix="1" applyFont="1" applyAlignment="1">
      <alignment horizontal="center"/>
    </xf>
    <xf numFmtId="0" fontId="0" fillId="0" borderId="0" xfId="0" applyAlignment="1">
      <alignment horizontal="right"/>
    </xf>
    <xf numFmtId="0" fontId="0" fillId="0" borderId="1" xfId="0" applyBorder="1" applyAlignment="1">
      <alignment horizontal="center" vertical="center" wrapText="1"/>
    </xf>
    <xf numFmtId="0" fontId="0" fillId="2" borderId="1" xfId="0" applyFill="1" applyBorder="1" applyAlignment="1">
      <alignment horizontal="center" vertical="center" wrapText="1"/>
    </xf>
    <xf numFmtId="0" fontId="0" fillId="0" borderId="1" xfId="0" quotePrefix="1" applyBorder="1" applyAlignment="1">
      <alignment vertical="center" wrapText="1"/>
    </xf>
    <xf numFmtId="0" fontId="0" fillId="0" borderId="1" xfId="0" applyBorder="1" applyAlignment="1">
      <alignment horizontal="center" vertical="center" wrapText="1"/>
    </xf>
    <xf numFmtId="0" fontId="5" fillId="0" borderId="0" xfId="0" applyFont="1" applyAlignment="1">
      <alignment horizontal="left"/>
    </xf>
    <xf numFmtId="49" fontId="0" fillId="0" borderId="1" xfId="0" applyNumberFormat="1"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center" vertical="center" wrapText="1"/>
    </xf>
    <xf numFmtId="0" fontId="0" fillId="0" borderId="1" xfId="0" quotePrefix="1" applyFont="1" applyBorder="1" applyAlignment="1">
      <alignment horizontal="center" vertical="center" wrapText="1"/>
    </xf>
    <xf numFmtId="164" fontId="4" fillId="2" borderId="1" xfId="0" applyNumberFormat="1" applyFont="1" applyFill="1" applyBorder="1" applyAlignment="1">
      <alignment vertical="center"/>
    </xf>
    <xf numFmtId="164" fontId="4" fillId="0" borderId="1" xfId="0" applyNumberFormat="1" applyFont="1" applyBorder="1" applyAlignment="1">
      <alignment vertical="center"/>
    </xf>
    <xf numFmtId="0" fontId="4" fillId="0" borderId="1" xfId="0" applyFont="1" applyBorder="1" applyAlignment="1">
      <alignment horizontal="center" vertical="center" wrapText="1"/>
    </xf>
    <xf numFmtId="0" fontId="4" fillId="0" borderId="1" xfId="0" quotePrefix="1" applyFont="1" applyBorder="1" applyAlignment="1">
      <alignment vertical="center" wrapText="1"/>
    </xf>
    <xf numFmtId="0" fontId="6" fillId="2" borderId="1" xfId="0" applyFont="1" applyFill="1" applyBorder="1" applyAlignment="1">
      <alignment horizontal="center" vertical="center" wrapText="1"/>
    </xf>
    <xf numFmtId="0" fontId="6" fillId="2" borderId="1" xfId="0" applyFont="1" applyFill="1" applyBorder="1" applyAlignment="1">
      <alignment vertical="center" wrapText="1"/>
    </xf>
    <xf numFmtId="164" fontId="6" fillId="2" borderId="1" xfId="0" applyNumberFormat="1" applyFont="1" applyFill="1" applyBorder="1" applyAlignment="1">
      <alignment vertical="center"/>
    </xf>
    <xf numFmtId="164" fontId="7" fillId="2" borderId="1" xfId="0" applyNumberFormat="1" applyFont="1" applyFill="1" applyBorder="1" applyAlignment="1">
      <alignment vertical="center"/>
    </xf>
    <xf numFmtId="164" fontId="7" fillId="0" borderId="1" xfId="0" applyNumberFormat="1" applyFont="1" applyBorder="1" applyAlignment="1">
      <alignment vertical="center"/>
    </xf>
    <xf numFmtId="164" fontId="7" fillId="0" borderId="1" xfId="0" applyNumberFormat="1" applyFont="1" applyBorder="1" applyAlignment="1">
      <alignment horizontal="right" vertical="center"/>
    </xf>
    <xf numFmtId="0" fontId="0" fillId="0" borderId="1" xfId="0" applyBorder="1" applyAlignment="1">
      <alignment horizontal="center" vertical="center" wrapText="1"/>
    </xf>
    <xf numFmtId="0" fontId="5" fillId="0" borderId="0" xfId="0" applyFont="1" applyAlignment="1">
      <alignment horizontal="left"/>
    </xf>
    <xf numFmtId="0" fontId="0" fillId="0" borderId="0" xfId="0" applyAlignment="1">
      <alignment horizontal="right"/>
    </xf>
    <xf numFmtId="0" fontId="0" fillId="0" borderId="0" xfId="0" applyAlignment="1">
      <alignment horizontal="right" vertical="center" wrapText="1"/>
    </xf>
    <xf numFmtId="0" fontId="0" fillId="0" borderId="0" xfId="0" applyAlignment="1">
      <alignment horizontal="right" vertical="center"/>
    </xf>
    <xf numFmtId="0" fontId="4" fillId="0" borderId="0" xfId="0" applyFont="1" applyAlignment="1">
      <alignment horizontal="center"/>
    </xf>
    <xf numFmtId="0" fontId="5" fillId="0" borderId="0" xfId="0" applyFont="1" applyAlignment="1">
      <alignment horizontal="center"/>
    </xf>
    <xf numFmtId="0" fontId="2" fillId="0" borderId="1" xfId="0" applyFont="1" applyBorder="1" applyAlignment="1">
      <alignment horizontal="center" vertical="center" wrapText="1"/>
    </xf>
    <xf numFmtId="0" fontId="0" fillId="0" borderId="1" xfId="0" applyBorder="1" applyAlignment="1">
      <alignment horizontal="center" vertical="center" wrapText="1"/>
    </xf>
    <xf numFmtId="0" fontId="0" fillId="2" borderId="1" xfId="0" applyFill="1" applyBorder="1" applyAlignment="1">
      <alignment horizontal="center" vertical="center" wrapText="1"/>
    </xf>
    <xf numFmtId="0" fontId="3" fillId="0" borderId="0" xfId="0" applyFont="1" applyAlignment="1">
      <alignment horizontal="center"/>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78"/>
  <sheetViews>
    <sheetView tabSelected="1" workbookViewId="0">
      <selection activeCell="N76" sqref="N76"/>
    </sheetView>
  </sheetViews>
  <sheetFormatPr defaultRowHeight="12.75" x14ac:dyDescent="0.2"/>
  <cols>
    <col min="1" max="3" width="12" customWidth="1"/>
    <col min="4" max="4" width="41.85546875" customWidth="1"/>
    <col min="5" max="8" width="15.7109375" customWidth="1"/>
    <col min="9" max="9" width="13" customWidth="1"/>
    <col min="10" max="10" width="14.5703125" customWidth="1"/>
    <col min="11" max="11" width="14.28515625" customWidth="1"/>
    <col min="12" max="12" width="14.42578125" customWidth="1"/>
    <col min="13" max="13" width="10.28515625" customWidth="1"/>
    <col min="14" max="14" width="10.7109375" customWidth="1"/>
    <col min="15" max="15" width="13.7109375" customWidth="1"/>
    <col min="16" max="16" width="15.7109375" customWidth="1"/>
  </cols>
  <sheetData>
    <row r="1" spans="1:16" x14ac:dyDescent="0.2">
      <c r="M1" s="29" t="s">
        <v>0</v>
      </c>
      <c r="N1" s="29"/>
      <c r="O1" s="29"/>
      <c r="P1" s="29"/>
    </row>
    <row r="2" spans="1:16" x14ac:dyDescent="0.2">
      <c r="M2" s="30" t="s">
        <v>132</v>
      </c>
      <c r="N2" s="30"/>
      <c r="O2" s="30"/>
      <c r="P2" s="30"/>
    </row>
    <row r="3" spans="1:16" x14ac:dyDescent="0.2">
      <c r="M3" s="31" t="s">
        <v>140</v>
      </c>
      <c r="N3" s="31"/>
      <c r="O3" s="31"/>
      <c r="P3" s="31"/>
    </row>
    <row r="4" spans="1:16" x14ac:dyDescent="0.2">
      <c r="M4" s="31" t="s">
        <v>162</v>
      </c>
      <c r="N4" s="31"/>
      <c r="O4" s="31"/>
      <c r="P4" s="31"/>
    </row>
    <row r="5" spans="1:16" x14ac:dyDescent="0.2">
      <c r="M5" s="31" t="s">
        <v>177</v>
      </c>
      <c r="N5" s="31"/>
      <c r="O5" s="31"/>
      <c r="P5" s="31"/>
    </row>
    <row r="6" spans="1:16" ht="15.75" x14ac:dyDescent="0.25">
      <c r="A6" s="32" t="s">
        <v>1</v>
      </c>
      <c r="B6" s="33"/>
      <c r="C6" s="33"/>
      <c r="D6" s="33"/>
      <c r="E6" s="33"/>
      <c r="F6" s="33"/>
      <c r="G6" s="33"/>
      <c r="H6" s="33"/>
      <c r="I6" s="33"/>
      <c r="J6" s="33"/>
      <c r="K6" s="33"/>
      <c r="L6" s="33"/>
      <c r="M6" s="33"/>
      <c r="N6" s="33"/>
      <c r="O6" s="33"/>
      <c r="P6" s="33"/>
    </row>
    <row r="7" spans="1:16" ht="15.75" x14ac:dyDescent="0.25">
      <c r="A7" s="32" t="s">
        <v>139</v>
      </c>
      <c r="B7" s="33"/>
      <c r="C7" s="33"/>
      <c r="D7" s="33"/>
      <c r="E7" s="33"/>
      <c r="F7" s="33"/>
      <c r="G7" s="33"/>
      <c r="H7" s="33"/>
      <c r="I7" s="33"/>
      <c r="J7" s="33"/>
      <c r="K7" s="33"/>
      <c r="L7" s="33"/>
      <c r="M7" s="33"/>
      <c r="N7" s="33"/>
      <c r="O7" s="33"/>
      <c r="P7" s="33"/>
    </row>
    <row r="8" spans="1:16" x14ac:dyDescent="0.2">
      <c r="A8" s="1" t="s">
        <v>2</v>
      </c>
    </row>
    <row r="9" spans="1:16" x14ac:dyDescent="0.2">
      <c r="A9" t="s">
        <v>3</v>
      </c>
      <c r="P9" s="2" t="s">
        <v>4</v>
      </c>
    </row>
    <row r="10" spans="1:16" x14ac:dyDescent="0.2">
      <c r="A10" s="34" t="s">
        <v>5</v>
      </c>
      <c r="B10" s="34" t="s">
        <v>6</v>
      </c>
      <c r="C10" s="34" t="s">
        <v>7</v>
      </c>
      <c r="D10" s="35" t="s">
        <v>8</v>
      </c>
      <c r="E10" s="35" t="s">
        <v>9</v>
      </c>
      <c r="F10" s="35"/>
      <c r="G10" s="35"/>
      <c r="H10" s="35"/>
      <c r="I10" s="35"/>
      <c r="J10" s="35" t="s">
        <v>16</v>
      </c>
      <c r="K10" s="35"/>
      <c r="L10" s="35"/>
      <c r="M10" s="35"/>
      <c r="N10" s="35"/>
      <c r="O10" s="35"/>
      <c r="P10" s="36" t="s">
        <v>18</v>
      </c>
    </row>
    <row r="11" spans="1:16" x14ac:dyDescent="0.2">
      <c r="A11" s="35"/>
      <c r="B11" s="35"/>
      <c r="C11" s="35"/>
      <c r="D11" s="35"/>
      <c r="E11" s="36" t="s">
        <v>10</v>
      </c>
      <c r="F11" s="35" t="s">
        <v>11</v>
      </c>
      <c r="G11" s="35" t="s">
        <v>12</v>
      </c>
      <c r="H11" s="35"/>
      <c r="I11" s="35" t="s">
        <v>15</v>
      </c>
      <c r="J11" s="36" t="s">
        <v>10</v>
      </c>
      <c r="K11" s="35" t="s">
        <v>17</v>
      </c>
      <c r="L11" s="35" t="s">
        <v>11</v>
      </c>
      <c r="M11" s="35" t="s">
        <v>12</v>
      </c>
      <c r="N11" s="35"/>
      <c r="O11" s="35" t="s">
        <v>15</v>
      </c>
      <c r="P11" s="35"/>
    </row>
    <row r="12" spans="1:16" x14ac:dyDescent="0.2">
      <c r="A12" s="35"/>
      <c r="B12" s="35"/>
      <c r="C12" s="35"/>
      <c r="D12" s="35"/>
      <c r="E12" s="35"/>
      <c r="F12" s="35"/>
      <c r="G12" s="35" t="s">
        <v>13</v>
      </c>
      <c r="H12" s="35" t="s">
        <v>14</v>
      </c>
      <c r="I12" s="35"/>
      <c r="J12" s="35"/>
      <c r="K12" s="35"/>
      <c r="L12" s="35"/>
      <c r="M12" s="35" t="s">
        <v>13</v>
      </c>
      <c r="N12" s="35" t="s">
        <v>14</v>
      </c>
      <c r="O12" s="35"/>
      <c r="P12" s="35"/>
    </row>
    <row r="13" spans="1:16" ht="44.25" customHeight="1" x14ac:dyDescent="0.2">
      <c r="A13" s="35"/>
      <c r="B13" s="35"/>
      <c r="C13" s="35"/>
      <c r="D13" s="35"/>
      <c r="E13" s="35"/>
      <c r="F13" s="35"/>
      <c r="G13" s="35"/>
      <c r="H13" s="35"/>
      <c r="I13" s="35"/>
      <c r="J13" s="35"/>
      <c r="K13" s="35"/>
      <c r="L13" s="35"/>
      <c r="M13" s="35"/>
      <c r="N13" s="35"/>
      <c r="O13" s="35"/>
      <c r="P13" s="35"/>
    </row>
    <row r="14" spans="1:16" x14ac:dyDescent="0.2">
      <c r="A14" s="3">
        <v>1</v>
      </c>
      <c r="B14" s="3">
        <v>2</v>
      </c>
      <c r="C14" s="3">
        <v>3</v>
      </c>
      <c r="D14" s="3">
        <v>4</v>
      </c>
      <c r="E14" s="4">
        <v>5</v>
      </c>
      <c r="F14" s="3">
        <v>6</v>
      </c>
      <c r="G14" s="3">
        <v>7</v>
      </c>
      <c r="H14" s="3">
        <v>8</v>
      </c>
      <c r="I14" s="3">
        <v>9</v>
      </c>
      <c r="J14" s="4">
        <v>10</v>
      </c>
      <c r="K14" s="3">
        <v>11</v>
      </c>
      <c r="L14" s="3">
        <v>12</v>
      </c>
      <c r="M14" s="3">
        <v>13</v>
      </c>
      <c r="N14" s="3">
        <v>14</v>
      </c>
      <c r="O14" s="3">
        <v>15</v>
      </c>
      <c r="P14" s="4">
        <v>16</v>
      </c>
    </row>
    <row r="15" spans="1:16" ht="14.25" customHeight="1" x14ac:dyDescent="0.2">
      <c r="A15" s="19" t="s">
        <v>19</v>
      </c>
      <c r="B15" s="19" t="s">
        <v>20</v>
      </c>
      <c r="C15" s="19" t="s">
        <v>20</v>
      </c>
      <c r="D15" s="20" t="s">
        <v>21</v>
      </c>
      <c r="E15" s="17">
        <f>E16</f>
        <v>39959604</v>
      </c>
      <c r="F15" s="18">
        <f>F16</f>
        <v>39959604</v>
      </c>
      <c r="G15" s="18">
        <f>G16</f>
        <v>19975486</v>
      </c>
      <c r="H15" s="18">
        <f>H16</f>
        <v>1713021</v>
      </c>
      <c r="I15" s="18">
        <v>0</v>
      </c>
      <c r="J15" s="17">
        <f>J16</f>
        <v>4165218</v>
      </c>
      <c r="K15" s="17">
        <f t="shared" ref="K15:O15" si="0">K16</f>
        <v>4129418</v>
      </c>
      <c r="L15" s="17">
        <f t="shared" si="0"/>
        <v>35800</v>
      </c>
      <c r="M15" s="17">
        <f t="shared" si="0"/>
        <v>0</v>
      </c>
      <c r="N15" s="17">
        <f t="shared" si="0"/>
        <v>0</v>
      </c>
      <c r="O15" s="17">
        <f t="shared" si="0"/>
        <v>4129418</v>
      </c>
      <c r="P15" s="17">
        <f t="shared" ref="P15:P68" si="1">E15 + J15</f>
        <v>44124822</v>
      </c>
    </row>
    <row r="16" spans="1:16" ht="14.25" customHeight="1" x14ac:dyDescent="0.2">
      <c r="A16" s="19" t="s">
        <v>22</v>
      </c>
      <c r="B16" s="19" t="s">
        <v>20</v>
      </c>
      <c r="C16" s="19" t="s">
        <v>20</v>
      </c>
      <c r="D16" s="20" t="s">
        <v>21</v>
      </c>
      <c r="E16" s="17">
        <f>E17+E18+E19+E20+E22+E26+E27+E28+E21+E24</f>
        <v>39959604</v>
      </c>
      <c r="F16" s="17">
        <f t="shared" ref="F16:I16" si="2">F17+F18+F19+F20+F22+F26+F27+F28+F21+F24</f>
        <v>39959604</v>
      </c>
      <c r="G16" s="17">
        <f t="shared" si="2"/>
        <v>19975486</v>
      </c>
      <c r="H16" s="17">
        <f t="shared" si="2"/>
        <v>1713021</v>
      </c>
      <c r="I16" s="17">
        <f t="shared" si="2"/>
        <v>0</v>
      </c>
      <c r="J16" s="17">
        <f>J17+J18+J19+J20+J22+J26+J27+J28+J23+J25+J24</f>
        <v>4165218</v>
      </c>
      <c r="K16" s="17">
        <f>K17+K18+K19+K20+K22+K26+K27+K28+K23+K25+K24</f>
        <v>4129418</v>
      </c>
      <c r="L16" s="17">
        <f t="shared" ref="L16:O16" si="3">L17+L18+L19+L20+L22+L26+L27+L28+L23+L25+L24</f>
        <v>35800</v>
      </c>
      <c r="M16" s="17">
        <f t="shared" si="3"/>
        <v>0</v>
      </c>
      <c r="N16" s="17">
        <f t="shared" si="3"/>
        <v>0</v>
      </c>
      <c r="O16" s="17">
        <f t="shared" si="3"/>
        <v>4129418</v>
      </c>
      <c r="P16" s="17">
        <f t="shared" si="1"/>
        <v>44124822</v>
      </c>
    </row>
    <row r="17" spans="1:16" ht="63.75" x14ac:dyDescent="0.2">
      <c r="A17" s="3" t="s">
        <v>23</v>
      </c>
      <c r="B17" s="3" t="s">
        <v>24</v>
      </c>
      <c r="C17" s="3" t="s">
        <v>25</v>
      </c>
      <c r="D17" s="5" t="s">
        <v>26</v>
      </c>
      <c r="E17" s="24">
        <f>20838200+80117+544726-73430+7665+96949+46901+156958+204297</f>
        <v>21902383</v>
      </c>
      <c r="F17" s="25">
        <f>E17</f>
        <v>21902383</v>
      </c>
      <c r="G17" s="25">
        <v>16578846</v>
      </c>
      <c r="H17" s="25">
        <f>468119+8306+102316</f>
        <v>578741</v>
      </c>
      <c r="I17" s="25">
        <v>0</v>
      </c>
      <c r="J17" s="24">
        <f>71598+114925+23780+23940+46358+67860</f>
        <v>348461</v>
      </c>
      <c r="K17" s="25">
        <f>71598+114925+23780+23940+46358+67860</f>
        <v>348461</v>
      </c>
      <c r="L17" s="25">
        <v>0</v>
      </c>
      <c r="M17" s="25">
        <v>0</v>
      </c>
      <c r="N17" s="25">
        <v>0</v>
      </c>
      <c r="O17" s="25">
        <f>71598+114925+23780+23940+46358+67860</f>
        <v>348461</v>
      </c>
      <c r="P17" s="24">
        <f t="shared" si="1"/>
        <v>22250844</v>
      </c>
    </row>
    <row r="18" spans="1:16" ht="25.5" x14ac:dyDescent="0.2">
      <c r="A18" s="3" t="s">
        <v>27</v>
      </c>
      <c r="B18" s="3" t="s">
        <v>28</v>
      </c>
      <c r="C18" s="3" t="s">
        <v>29</v>
      </c>
      <c r="D18" s="5" t="s">
        <v>30</v>
      </c>
      <c r="E18" s="24">
        <f>200000+6483+975000+10602-933200</f>
        <v>258885</v>
      </c>
      <c r="F18" s="25">
        <f t="shared" ref="F18:F28" si="4">E18</f>
        <v>258885</v>
      </c>
      <c r="G18" s="25">
        <v>0</v>
      </c>
      <c r="H18" s="25">
        <v>0</v>
      </c>
      <c r="I18" s="25">
        <v>0</v>
      </c>
      <c r="J18" s="24">
        <f>1453000</f>
        <v>1453000</v>
      </c>
      <c r="K18" s="25">
        <f>1453000</f>
        <v>1453000</v>
      </c>
      <c r="L18" s="25">
        <v>0</v>
      </c>
      <c r="M18" s="25">
        <v>0</v>
      </c>
      <c r="N18" s="25">
        <v>0</v>
      </c>
      <c r="O18" s="25">
        <f>1453000</f>
        <v>1453000</v>
      </c>
      <c r="P18" s="24">
        <f t="shared" si="1"/>
        <v>1711885</v>
      </c>
    </row>
    <row r="19" spans="1:16" ht="42" customHeight="1" x14ac:dyDescent="0.2">
      <c r="A19" s="3" t="s">
        <v>31</v>
      </c>
      <c r="B19" s="3" t="s">
        <v>32</v>
      </c>
      <c r="C19" s="3" t="s">
        <v>29</v>
      </c>
      <c r="D19" s="5" t="s">
        <v>33</v>
      </c>
      <c r="E19" s="24">
        <f>2029913+2177089+1036349-58470+44198+23520+220972+99122+68310</f>
        <v>5641003</v>
      </c>
      <c r="F19" s="25">
        <f t="shared" si="4"/>
        <v>5641003</v>
      </c>
      <c r="G19" s="25">
        <v>0</v>
      </c>
      <c r="H19" s="25">
        <v>0</v>
      </c>
      <c r="I19" s="25">
        <v>0</v>
      </c>
      <c r="J19" s="24">
        <f>58470+114000+99998+23600</f>
        <v>296068</v>
      </c>
      <c r="K19" s="25">
        <f>58470+114000+99998+23600</f>
        <v>296068</v>
      </c>
      <c r="L19" s="25">
        <v>0</v>
      </c>
      <c r="M19" s="25">
        <v>0</v>
      </c>
      <c r="N19" s="25">
        <v>0</v>
      </c>
      <c r="O19" s="25">
        <f>172470+99998+23600</f>
        <v>296068</v>
      </c>
      <c r="P19" s="24">
        <f t="shared" si="1"/>
        <v>5937071</v>
      </c>
    </row>
    <row r="20" spans="1:16" ht="12.75" customHeight="1" x14ac:dyDescent="0.2">
      <c r="A20" s="3" t="s">
        <v>34</v>
      </c>
      <c r="B20" s="3" t="s">
        <v>35</v>
      </c>
      <c r="C20" s="3" t="s">
        <v>29</v>
      </c>
      <c r="D20" s="5" t="s">
        <v>36</v>
      </c>
      <c r="E20" s="24">
        <f>1071880+89648+32876+408316+101559+436214+36030+36000+53651</f>
        <v>2266174</v>
      </c>
      <c r="F20" s="25">
        <f t="shared" si="4"/>
        <v>2266174</v>
      </c>
      <c r="G20" s="25">
        <v>0</v>
      </c>
      <c r="H20" s="25">
        <v>1071880</v>
      </c>
      <c r="I20" s="25">
        <v>0</v>
      </c>
      <c r="J20" s="24">
        <f>4100000-4100000+66000</f>
        <v>66000</v>
      </c>
      <c r="K20" s="25">
        <f>4100000-4100000+66000</f>
        <v>66000</v>
      </c>
      <c r="L20" s="25">
        <v>0</v>
      </c>
      <c r="M20" s="25">
        <v>0</v>
      </c>
      <c r="N20" s="25">
        <v>0</v>
      </c>
      <c r="O20" s="25">
        <f>4100000-4100000+66000</f>
        <v>66000</v>
      </c>
      <c r="P20" s="24">
        <f t="shared" si="1"/>
        <v>2332174</v>
      </c>
    </row>
    <row r="21" spans="1:16" ht="103.5" customHeight="1" x14ac:dyDescent="0.2">
      <c r="A21" s="9">
        <v>116071</v>
      </c>
      <c r="B21" s="9">
        <v>6071</v>
      </c>
      <c r="C21" s="8" t="s">
        <v>154</v>
      </c>
      <c r="D21" s="5" t="s">
        <v>153</v>
      </c>
      <c r="E21" s="24">
        <f>477658+288763+377365+421832+378462+473462+422427+394009+314543</f>
        <v>3548521</v>
      </c>
      <c r="F21" s="25">
        <f t="shared" si="4"/>
        <v>3548521</v>
      </c>
      <c r="G21" s="25">
        <v>0</v>
      </c>
      <c r="H21" s="25"/>
      <c r="I21" s="25"/>
      <c r="J21" s="24"/>
      <c r="K21" s="25"/>
      <c r="L21" s="25"/>
      <c r="M21" s="25"/>
      <c r="N21" s="25"/>
      <c r="O21" s="25"/>
      <c r="P21" s="24">
        <f t="shared" si="1"/>
        <v>3548521</v>
      </c>
    </row>
    <row r="22" spans="1:16" ht="17.25" customHeight="1" x14ac:dyDescent="0.2">
      <c r="A22" s="3" t="s">
        <v>37</v>
      </c>
      <c r="B22" s="3" t="s">
        <v>38</v>
      </c>
      <c r="C22" s="3" t="s">
        <v>39</v>
      </c>
      <c r="D22" s="5" t="s">
        <v>40</v>
      </c>
      <c r="E22" s="24">
        <f>1000000+240000+17000+45164-7164-67860</f>
        <v>1227140</v>
      </c>
      <c r="F22" s="25">
        <f t="shared" si="4"/>
        <v>1227140</v>
      </c>
      <c r="G22" s="25">
        <v>0</v>
      </c>
      <c r="H22" s="25">
        <v>0</v>
      </c>
      <c r="I22" s="25">
        <v>0</v>
      </c>
      <c r="J22" s="24">
        <v>0</v>
      </c>
      <c r="K22" s="25">
        <v>0</v>
      </c>
      <c r="L22" s="25">
        <v>0</v>
      </c>
      <c r="M22" s="25">
        <v>0</v>
      </c>
      <c r="N22" s="25">
        <v>0</v>
      </c>
      <c r="O22" s="25">
        <v>0</v>
      </c>
      <c r="P22" s="24">
        <f t="shared" si="1"/>
        <v>1227140</v>
      </c>
    </row>
    <row r="23" spans="1:16" ht="21.75" customHeight="1" x14ac:dyDescent="0.2">
      <c r="A23" s="8" t="s">
        <v>147</v>
      </c>
      <c r="B23" s="9">
        <v>7330</v>
      </c>
      <c r="C23" s="8" t="s">
        <v>149</v>
      </c>
      <c r="D23" s="5" t="s">
        <v>152</v>
      </c>
      <c r="E23" s="24"/>
      <c r="F23" s="25"/>
      <c r="G23" s="25"/>
      <c r="H23" s="25"/>
      <c r="I23" s="25"/>
      <c r="J23" s="24">
        <v>1883139</v>
      </c>
      <c r="K23" s="25">
        <v>1883139</v>
      </c>
      <c r="L23" s="25"/>
      <c r="M23" s="25"/>
      <c r="N23" s="25"/>
      <c r="O23" s="25">
        <v>1883139</v>
      </c>
      <c r="P23" s="24">
        <f t="shared" si="1"/>
        <v>1883139</v>
      </c>
    </row>
    <row r="24" spans="1:16" ht="27" customHeight="1" x14ac:dyDescent="0.2">
      <c r="A24" s="8" t="s">
        <v>157</v>
      </c>
      <c r="B24" s="10">
        <v>7370</v>
      </c>
      <c r="C24" s="8" t="s">
        <v>150</v>
      </c>
      <c r="D24" s="5" t="s">
        <v>158</v>
      </c>
      <c r="E24" s="24">
        <f>255265+44317+64564+14458</f>
        <v>378604</v>
      </c>
      <c r="F24" s="25">
        <f>E24</f>
        <v>378604</v>
      </c>
      <c r="G24" s="25"/>
      <c r="H24" s="25"/>
      <c r="I24" s="25"/>
      <c r="J24" s="24">
        <v>19200</v>
      </c>
      <c r="K24" s="25">
        <v>19200</v>
      </c>
      <c r="L24" s="25"/>
      <c r="M24" s="25"/>
      <c r="N24" s="25"/>
      <c r="O24" s="25">
        <v>19200</v>
      </c>
      <c r="P24" s="24">
        <f t="shared" si="1"/>
        <v>397804</v>
      </c>
    </row>
    <row r="25" spans="1:16" ht="31.5" customHeight="1" x14ac:dyDescent="0.2">
      <c r="A25" s="8" t="s">
        <v>148</v>
      </c>
      <c r="B25" s="9">
        <v>7650</v>
      </c>
      <c r="C25" s="8" t="s">
        <v>150</v>
      </c>
      <c r="D25" s="5" t="s">
        <v>151</v>
      </c>
      <c r="E25" s="24"/>
      <c r="F25" s="25"/>
      <c r="G25" s="25"/>
      <c r="H25" s="25"/>
      <c r="I25" s="25"/>
      <c r="J25" s="24">
        <f>8500+8500+28750</f>
        <v>45750</v>
      </c>
      <c r="K25" s="25">
        <f>8500+8500+28750</f>
        <v>45750</v>
      </c>
      <c r="L25" s="25"/>
      <c r="M25" s="25"/>
      <c r="N25" s="25"/>
      <c r="O25" s="25">
        <f>8500+8500+28750</f>
        <v>45750</v>
      </c>
      <c r="P25" s="24">
        <f t="shared" si="1"/>
        <v>45750</v>
      </c>
    </row>
    <row r="26" spans="1:16" ht="38.25" x14ac:dyDescent="0.2">
      <c r="A26" s="3" t="s">
        <v>41</v>
      </c>
      <c r="B26" s="3" t="s">
        <v>42</v>
      </c>
      <c r="C26" s="3" t="s">
        <v>43</v>
      </c>
      <c r="D26" s="5" t="s">
        <v>44</v>
      </c>
      <c r="E26" s="24">
        <v>43200</v>
      </c>
      <c r="F26" s="25">
        <f t="shared" si="4"/>
        <v>43200</v>
      </c>
      <c r="G26" s="25">
        <v>0</v>
      </c>
      <c r="H26" s="25">
        <v>0</v>
      </c>
      <c r="I26" s="25">
        <v>0</v>
      </c>
      <c r="J26" s="24">
        <v>0</v>
      </c>
      <c r="K26" s="25">
        <v>0</v>
      </c>
      <c r="L26" s="25">
        <v>0</v>
      </c>
      <c r="M26" s="25">
        <v>0</v>
      </c>
      <c r="N26" s="25">
        <v>0</v>
      </c>
      <c r="O26" s="25">
        <v>0</v>
      </c>
      <c r="P26" s="24">
        <f t="shared" si="1"/>
        <v>43200</v>
      </c>
    </row>
    <row r="27" spans="1:16" ht="25.5" x14ac:dyDescent="0.2">
      <c r="A27" s="3" t="s">
        <v>45</v>
      </c>
      <c r="B27" s="3" t="s">
        <v>46</v>
      </c>
      <c r="C27" s="3" t="s">
        <v>43</v>
      </c>
      <c r="D27" s="5" t="s">
        <v>47</v>
      </c>
      <c r="E27" s="24">
        <f>4595000+53880+44814</f>
        <v>4693694</v>
      </c>
      <c r="F27" s="25">
        <f t="shared" si="4"/>
        <v>4693694</v>
      </c>
      <c r="G27" s="25">
        <v>3396640</v>
      </c>
      <c r="H27" s="25">
        <v>62400</v>
      </c>
      <c r="I27" s="25">
        <v>0</v>
      </c>
      <c r="J27" s="24">
        <v>17800</v>
      </c>
      <c r="K27" s="25">
        <v>17800</v>
      </c>
      <c r="L27" s="25">
        <v>0</v>
      </c>
      <c r="M27" s="25">
        <v>0</v>
      </c>
      <c r="N27" s="25">
        <v>0</v>
      </c>
      <c r="O27" s="25">
        <v>17800</v>
      </c>
      <c r="P27" s="24">
        <f t="shared" si="1"/>
        <v>4711494</v>
      </c>
    </row>
    <row r="28" spans="1:16" ht="25.5" x14ac:dyDescent="0.2">
      <c r="A28" s="3" t="s">
        <v>48</v>
      </c>
      <c r="B28" s="3" t="s">
        <v>49</v>
      </c>
      <c r="C28" s="3" t="s">
        <v>50</v>
      </c>
      <c r="D28" s="5" t="s">
        <v>51</v>
      </c>
      <c r="E28" s="24">
        <v>0</v>
      </c>
      <c r="F28" s="25">
        <f t="shared" si="4"/>
        <v>0</v>
      </c>
      <c r="G28" s="25">
        <v>0</v>
      </c>
      <c r="H28" s="25">
        <v>0</v>
      </c>
      <c r="I28" s="25">
        <v>0</v>
      </c>
      <c r="J28" s="24">
        <v>35800</v>
      </c>
      <c r="K28" s="25">
        <v>0</v>
      </c>
      <c r="L28" s="25">
        <v>35800</v>
      </c>
      <c r="M28" s="25">
        <v>0</v>
      </c>
      <c r="N28" s="25">
        <v>0</v>
      </c>
      <c r="O28" s="25">
        <v>0</v>
      </c>
      <c r="P28" s="24">
        <f t="shared" si="1"/>
        <v>35800</v>
      </c>
    </row>
    <row r="29" spans="1:16" ht="38.25" customHeight="1" x14ac:dyDescent="0.2">
      <c r="A29" s="19" t="s">
        <v>52</v>
      </c>
      <c r="B29" s="19" t="s">
        <v>20</v>
      </c>
      <c r="C29" s="19" t="s">
        <v>20</v>
      </c>
      <c r="D29" s="20" t="s">
        <v>168</v>
      </c>
      <c r="E29" s="17">
        <f>E30</f>
        <v>107351905</v>
      </c>
      <c r="F29" s="17">
        <f t="shared" ref="F29:H29" si="5">F30</f>
        <v>107351905</v>
      </c>
      <c r="G29" s="17">
        <f t="shared" si="5"/>
        <v>76311192</v>
      </c>
      <c r="H29" s="17">
        <f t="shared" si="5"/>
        <v>5979596</v>
      </c>
      <c r="I29" s="18">
        <v>0</v>
      </c>
      <c r="J29" s="17">
        <f>J30</f>
        <v>17866195</v>
      </c>
      <c r="K29" s="17">
        <f>K30</f>
        <v>17173695</v>
      </c>
      <c r="L29" s="17">
        <f t="shared" ref="L29:O29" si="6">L30</f>
        <v>642500</v>
      </c>
      <c r="M29" s="17">
        <f t="shared" si="6"/>
        <v>39262</v>
      </c>
      <c r="N29" s="17">
        <f t="shared" si="6"/>
        <v>0</v>
      </c>
      <c r="O29" s="17">
        <f t="shared" si="6"/>
        <v>17223695</v>
      </c>
      <c r="P29" s="17">
        <f t="shared" si="1"/>
        <v>125218100</v>
      </c>
    </row>
    <row r="30" spans="1:16" ht="34.5" customHeight="1" x14ac:dyDescent="0.2">
      <c r="A30" s="19" t="s">
        <v>53</v>
      </c>
      <c r="B30" s="19" t="s">
        <v>20</v>
      </c>
      <c r="C30" s="19" t="s">
        <v>20</v>
      </c>
      <c r="D30" s="20" t="s">
        <v>168</v>
      </c>
      <c r="E30" s="17">
        <f>E31+E32+E33+E34+E35+E36+E37+E38+E44+E45+E42+E46+E43</f>
        <v>107351905</v>
      </c>
      <c r="F30" s="17">
        <f>F31+F32+F33+F34+F35+F36+F37+F38+F44+F45+F42+F46+F43</f>
        <v>107351905</v>
      </c>
      <c r="G30" s="17">
        <f>G31+G32+G33+G34+G35+G36+G37+G38+G44+G45+G42+G46</f>
        <v>76311192</v>
      </c>
      <c r="H30" s="17">
        <f>H31+H32+H33+H34+H35+H36+H37+H38+H44+H45+H42+H46</f>
        <v>5979596</v>
      </c>
      <c r="I30" s="17">
        <f t="shared" ref="I30" si="7">I31+I32+I33+I34+I35+I36+I37+I38+I44+I45+I42</f>
        <v>0</v>
      </c>
      <c r="J30" s="17">
        <f>J31+J32+J33+J34+J35+J36+J37+J38+J42+J44+J45+J40+J39+J41</f>
        <v>17866195</v>
      </c>
      <c r="K30" s="17">
        <f>K32+K33+K40+K44+K45</f>
        <v>17173695</v>
      </c>
      <c r="L30" s="17">
        <f>L31+L32+L33+L34+L35+L36+L37+L38+L42+L44+L45+L39+L41</f>
        <v>642500</v>
      </c>
      <c r="M30" s="17">
        <f>M31+M32+M33+M34+M35+M36+M37+M38+M42+M44+M45+M39+M41</f>
        <v>39262</v>
      </c>
      <c r="N30" s="17">
        <f t="shared" ref="N30" si="8">N31+N32+N33+N34+N35+N36+N37+N38+N42+N44+N45</f>
        <v>0</v>
      </c>
      <c r="O30" s="17">
        <f>O32+O33+O35+O40+O44+O45</f>
        <v>17223695</v>
      </c>
      <c r="P30" s="17">
        <f t="shared" si="1"/>
        <v>125218100</v>
      </c>
    </row>
    <row r="31" spans="1:16" ht="38.25" x14ac:dyDescent="0.2">
      <c r="A31" s="3" t="s">
        <v>54</v>
      </c>
      <c r="B31" s="3" t="s">
        <v>55</v>
      </c>
      <c r="C31" s="3" t="s">
        <v>25</v>
      </c>
      <c r="D31" s="5" t="s">
        <v>56</v>
      </c>
      <c r="E31" s="24">
        <v>5164037</v>
      </c>
      <c r="F31" s="25">
        <f>E31</f>
        <v>5164037</v>
      </c>
      <c r="G31" s="25">
        <v>4191834</v>
      </c>
      <c r="H31" s="25">
        <v>0</v>
      </c>
      <c r="I31" s="25">
        <v>0</v>
      </c>
      <c r="J31" s="24">
        <v>0</v>
      </c>
      <c r="K31" s="25">
        <v>0</v>
      </c>
      <c r="L31" s="25">
        <v>0</v>
      </c>
      <c r="M31" s="25">
        <v>0</v>
      </c>
      <c r="N31" s="25">
        <v>0</v>
      </c>
      <c r="O31" s="25">
        <v>0</v>
      </c>
      <c r="P31" s="24">
        <f t="shared" si="1"/>
        <v>5164037</v>
      </c>
    </row>
    <row r="32" spans="1:16" ht="15" customHeight="1" x14ac:dyDescent="0.2">
      <c r="A32" s="3" t="s">
        <v>57</v>
      </c>
      <c r="B32" s="3" t="s">
        <v>58</v>
      </c>
      <c r="C32" s="3" t="s">
        <v>59</v>
      </c>
      <c r="D32" s="5" t="s">
        <v>60</v>
      </c>
      <c r="E32" s="24">
        <f>19323139+500739+701975-382400-1114549+39222+35865+347633</f>
        <v>19451624</v>
      </c>
      <c r="F32" s="25">
        <f t="shared" ref="F32:F46" si="9">E32</f>
        <v>19451624</v>
      </c>
      <c r="G32" s="25">
        <f>13370309-38361-18040-2020-150000-645930</f>
        <v>12515958</v>
      </c>
      <c r="H32" s="25">
        <f>2105429-395000-441682+319770</f>
        <v>1588517</v>
      </c>
      <c r="I32" s="25">
        <v>0</v>
      </c>
      <c r="J32" s="24">
        <f>94000+2693050+15755</f>
        <v>2802805</v>
      </c>
      <c r="K32" s="25">
        <f>94000+2693050+15755</f>
        <v>2802805</v>
      </c>
      <c r="L32" s="25">
        <v>0</v>
      </c>
      <c r="M32" s="25">
        <v>0</v>
      </c>
      <c r="N32" s="25">
        <v>0</v>
      </c>
      <c r="O32" s="25">
        <f>94000+2693050+15755</f>
        <v>2802805</v>
      </c>
      <c r="P32" s="24">
        <f t="shared" si="1"/>
        <v>22254429</v>
      </c>
    </row>
    <row r="33" spans="1:16" ht="38.25" x14ac:dyDescent="0.2">
      <c r="A33" s="3" t="s">
        <v>61</v>
      </c>
      <c r="B33" s="3" t="s">
        <v>62</v>
      </c>
      <c r="C33" s="3" t="s">
        <v>63</v>
      </c>
      <c r="D33" s="5" t="s">
        <v>64</v>
      </c>
      <c r="E33" s="24">
        <f>17941662+1105900-4800+230542-137060-1026207-88173+459049+577049</f>
        <v>19057962</v>
      </c>
      <c r="F33" s="25">
        <f t="shared" si="9"/>
        <v>19057962</v>
      </c>
      <c r="G33" s="25">
        <f>11779871-42000-4800-57860-150000-520000</f>
        <v>11005211</v>
      </c>
      <c r="H33" s="25">
        <f>3273126-100000-578265+326610-88173</f>
        <v>2833298</v>
      </c>
      <c r="I33" s="25">
        <v>0</v>
      </c>
      <c r="J33" s="24">
        <f>6065244+18000+68060+1145547+3900000+1406950+300000+933200+216334</f>
        <v>14053335</v>
      </c>
      <c r="K33" s="25">
        <f>6065244+18000+68060+1145547+3900000+1406950+300000+933200+216334</f>
        <v>14053335</v>
      </c>
      <c r="L33" s="25">
        <v>0</v>
      </c>
      <c r="M33" s="25">
        <v>0</v>
      </c>
      <c r="N33" s="25">
        <v>0</v>
      </c>
      <c r="O33" s="25">
        <f>6065244+18000+68060+1145547+3900000+1406950+300000+933200+216334</f>
        <v>14053335</v>
      </c>
      <c r="P33" s="24">
        <f t="shared" si="1"/>
        <v>33111297</v>
      </c>
    </row>
    <row r="34" spans="1:16" ht="38.25" x14ac:dyDescent="0.2">
      <c r="A34" s="3" t="s">
        <v>65</v>
      </c>
      <c r="B34" s="3" t="s">
        <v>66</v>
      </c>
      <c r="C34" s="3" t="s">
        <v>63</v>
      </c>
      <c r="D34" s="5" t="s">
        <v>67</v>
      </c>
      <c r="E34" s="24">
        <f>28993200+14033200</f>
        <v>43026400</v>
      </c>
      <c r="F34" s="25">
        <f t="shared" si="9"/>
        <v>43026400</v>
      </c>
      <c r="G34" s="25">
        <f>23764918+11597686</f>
        <v>35362604</v>
      </c>
      <c r="H34" s="25">
        <v>0</v>
      </c>
      <c r="I34" s="25">
        <v>0</v>
      </c>
      <c r="J34" s="24">
        <v>0</v>
      </c>
      <c r="K34" s="25">
        <v>0</v>
      </c>
      <c r="L34" s="25">
        <v>0</v>
      </c>
      <c r="M34" s="25">
        <v>0</v>
      </c>
      <c r="N34" s="25">
        <v>0</v>
      </c>
      <c r="O34" s="25">
        <v>0</v>
      </c>
      <c r="P34" s="24">
        <f t="shared" si="1"/>
        <v>43026400</v>
      </c>
    </row>
    <row r="35" spans="1:16" ht="25.5" x14ac:dyDescent="0.2">
      <c r="A35" s="3" t="s">
        <v>68</v>
      </c>
      <c r="B35" s="3" t="s">
        <v>69</v>
      </c>
      <c r="C35" s="3" t="s">
        <v>70</v>
      </c>
      <c r="D35" s="5" t="s">
        <v>71</v>
      </c>
      <c r="E35" s="24">
        <f>1772606+12825-99800</f>
        <v>1685631</v>
      </c>
      <c r="F35" s="25">
        <f t="shared" si="9"/>
        <v>1685631</v>
      </c>
      <c r="G35" s="25">
        <f>1413274-820-195323</f>
        <v>1217131</v>
      </c>
      <c r="H35" s="25">
        <f>48412+12825</f>
        <v>61237</v>
      </c>
      <c r="I35" s="25">
        <v>0</v>
      </c>
      <c r="J35" s="24">
        <v>80000</v>
      </c>
      <c r="K35" s="26" t="s">
        <v>142</v>
      </c>
      <c r="L35" s="25">
        <v>30000</v>
      </c>
      <c r="M35" s="25">
        <v>0</v>
      </c>
      <c r="N35" s="25">
        <v>0</v>
      </c>
      <c r="O35" s="26">
        <v>50000</v>
      </c>
      <c r="P35" s="24">
        <f t="shared" si="1"/>
        <v>1765631</v>
      </c>
    </row>
    <row r="36" spans="1:16" ht="25.5" x14ac:dyDescent="0.2">
      <c r="A36" s="3" t="s">
        <v>72</v>
      </c>
      <c r="B36" s="3" t="s">
        <v>73</v>
      </c>
      <c r="C36" s="3" t="s">
        <v>74</v>
      </c>
      <c r="D36" s="5" t="s">
        <v>75</v>
      </c>
      <c r="E36" s="24">
        <v>3758885</v>
      </c>
      <c r="F36" s="25">
        <f t="shared" si="9"/>
        <v>3758885</v>
      </c>
      <c r="G36" s="25">
        <v>3034384</v>
      </c>
      <c r="H36" s="25">
        <v>0</v>
      </c>
      <c r="I36" s="25">
        <v>0</v>
      </c>
      <c r="J36" s="24">
        <v>0</v>
      </c>
      <c r="K36" s="25">
        <v>0</v>
      </c>
      <c r="L36" s="25">
        <v>0</v>
      </c>
      <c r="M36" s="25">
        <v>0</v>
      </c>
      <c r="N36" s="25">
        <v>0</v>
      </c>
      <c r="O36" s="25">
        <v>0</v>
      </c>
      <c r="P36" s="24">
        <f t="shared" si="1"/>
        <v>3758885</v>
      </c>
    </row>
    <row r="37" spans="1:16" ht="19.5" customHeight="1" x14ac:dyDescent="0.2">
      <c r="A37" s="3" t="s">
        <v>76</v>
      </c>
      <c r="B37" s="3" t="s">
        <v>77</v>
      </c>
      <c r="C37" s="3" t="s">
        <v>74</v>
      </c>
      <c r="D37" s="5" t="s">
        <v>78</v>
      </c>
      <c r="E37" s="24">
        <f>40860+96224+68024</f>
        <v>205108</v>
      </c>
      <c r="F37" s="25">
        <f t="shared" si="9"/>
        <v>205108</v>
      </c>
      <c r="G37" s="25">
        <v>0</v>
      </c>
      <c r="H37" s="25">
        <v>0</v>
      </c>
      <c r="I37" s="25">
        <v>0</v>
      </c>
      <c r="J37" s="24">
        <v>0</v>
      </c>
      <c r="K37" s="25">
        <v>0</v>
      </c>
      <c r="L37" s="25">
        <v>0</v>
      </c>
      <c r="M37" s="25">
        <v>0</v>
      </c>
      <c r="N37" s="25">
        <v>0</v>
      </c>
      <c r="O37" s="25">
        <v>0</v>
      </c>
      <c r="P37" s="24">
        <f t="shared" si="1"/>
        <v>205108</v>
      </c>
    </row>
    <row r="38" spans="1:16" ht="76.5" x14ac:dyDescent="0.2">
      <c r="A38" s="8" t="s">
        <v>143</v>
      </c>
      <c r="B38" s="6">
        <v>1200</v>
      </c>
      <c r="C38" s="8" t="s">
        <v>74</v>
      </c>
      <c r="D38" s="5" t="s">
        <v>141</v>
      </c>
      <c r="E38" s="24">
        <v>62500</v>
      </c>
      <c r="F38" s="25">
        <f t="shared" si="9"/>
        <v>62500</v>
      </c>
      <c r="G38" s="25">
        <v>51230</v>
      </c>
      <c r="H38" s="25"/>
      <c r="I38" s="25"/>
      <c r="J38" s="24"/>
      <c r="K38" s="25"/>
      <c r="L38" s="25"/>
      <c r="M38" s="25"/>
      <c r="N38" s="25"/>
      <c r="O38" s="25"/>
      <c r="P38" s="24">
        <f t="shared" si="1"/>
        <v>62500</v>
      </c>
    </row>
    <row r="39" spans="1:16" ht="64.5" customHeight="1" x14ac:dyDescent="0.2">
      <c r="A39" s="8" t="s">
        <v>169</v>
      </c>
      <c r="B39" s="14">
        <v>1279</v>
      </c>
      <c r="C39" s="8" t="s">
        <v>74</v>
      </c>
      <c r="D39" s="5" t="s">
        <v>170</v>
      </c>
      <c r="E39" s="24"/>
      <c r="F39" s="25"/>
      <c r="G39" s="25"/>
      <c r="H39" s="25"/>
      <c r="I39" s="25"/>
      <c r="J39" s="24">
        <v>564600</v>
      </c>
      <c r="K39" s="25"/>
      <c r="L39" s="25">
        <v>564600</v>
      </c>
      <c r="M39" s="25"/>
      <c r="N39" s="25"/>
      <c r="O39" s="25"/>
      <c r="P39" s="24">
        <f t="shared" si="1"/>
        <v>564600</v>
      </c>
    </row>
    <row r="40" spans="1:16" ht="15.75" customHeight="1" x14ac:dyDescent="0.2">
      <c r="A40" s="8" t="s">
        <v>166</v>
      </c>
      <c r="B40" s="13">
        <v>1300</v>
      </c>
      <c r="C40" s="8" t="s">
        <v>74</v>
      </c>
      <c r="D40" s="5" t="s">
        <v>167</v>
      </c>
      <c r="E40" s="24"/>
      <c r="F40" s="25"/>
      <c r="G40" s="25"/>
      <c r="H40" s="25"/>
      <c r="I40" s="25"/>
      <c r="J40" s="24">
        <v>99800</v>
      </c>
      <c r="K40" s="25">
        <v>99800</v>
      </c>
      <c r="L40" s="25"/>
      <c r="M40" s="25"/>
      <c r="N40" s="25"/>
      <c r="O40" s="25">
        <v>99800</v>
      </c>
      <c r="P40" s="24">
        <f t="shared" si="1"/>
        <v>99800</v>
      </c>
    </row>
    <row r="41" spans="1:16" ht="95.25" customHeight="1" x14ac:dyDescent="0.2">
      <c r="A41" s="8" t="s">
        <v>171</v>
      </c>
      <c r="B41" s="15">
        <v>1501</v>
      </c>
      <c r="C41" s="8" t="s">
        <v>74</v>
      </c>
      <c r="D41" s="5" t="s">
        <v>172</v>
      </c>
      <c r="E41" s="24"/>
      <c r="F41" s="25"/>
      <c r="G41" s="25"/>
      <c r="H41" s="25"/>
      <c r="I41" s="25"/>
      <c r="J41" s="24">
        <v>47900</v>
      </c>
      <c r="K41" s="25"/>
      <c r="L41" s="25">
        <v>47900</v>
      </c>
      <c r="M41" s="25">
        <v>39262</v>
      </c>
      <c r="N41" s="25"/>
      <c r="O41" s="25"/>
      <c r="P41" s="24">
        <f t="shared" si="1"/>
        <v>47900</v>
      </c>
    </row>
    <row r="42" spans="1:16" ht="51" x14ac:dyDescent="0.2">
      <c r="A42" s="8" t="s">
        <v>144</v>
      </c>
      <c r="B42" s="8" t="s">
        <v>145</v>
      </c>
      <c r="C42" s="8" t="s">
        <v>74</v>
      </c>
      <c r="D42" s="5" t="s">
        <v>146</v>
      </c>
      <c r="E42" s="24">
        <f>1882200+1800+2291500+2291500</f>
        <v>6467000</v>
      </c>
      <c r="F42" s="25">
        <f t="shared" si="9"/>
        <v>6467000</v>
      </c>
      <c r="G42" s="25">
        <f>1542786+1800+1878278+1878278</f>
        <v>5301142</v>
      </c>
      <c r="H42" s="25"/>
      <c r="I42" s="25"/>
      <c r="J42" s="24"/>
      <c r="K42" s="25"/>
      <c r="L42" s="25"/>
      <c r="M42" s="25"/>
      <c r="N42" s="25"/>
      <c r="O42" s="25"/>
      <c r="P42" s="24">
        <f t="shared" si="1"/>
        <v>6467000</v>
      </c>
    </row>
    <row r="43" spans="1:16" ht="38.25" x14ac:dyDescent="0.2">
      <c r="A43" s="8" t="s">
        <v>173</v>
      </c>
      <c r="B43" s="8" t="s">
        <v>174</v>
      </c>
      <c r="C43" s="8" t="s">
        <v>74</v>
      </c>
      <c r="D43" s="5" t="s">
        <v>175</v>
      </c>
      <c r="E43" s="24">
        <v>1420100</v>
      </c>
      <c r="F43" s="25">
        <f>E43</f>
        <v>1420100</v>
      </c>
      <c r="G43" s="25"/>
      <c r="H43" s="25"/>
      <c r="I43" s="25"/>
      <c r="J43" s="24"/>
      <c r="K43" s="25"/>
      <c r="L43" s="25"/>
      <c r="M43" s="25"/>
      <c r="N43" s="25"/>
      <c r="O43" s="25"/>
      <c r="P43" s="24">
        <f t="shared" si="1"/>
        <v>1420100</v>
      </c>
    </row>
    <row r="44" spans="1:16" ht="16.5" customHeight="1" x14ac:dyDescent="0.2">
      <c r="A44" s="6" t="s">
        <v>79</v>
      </c>
      <c r="B44" s="3" t="s">
        <v>80</v>
      </c>
      <c r="C44" s="3" t="s">
        <v>81</v>
      </c>
      <c r="D44" s="5" t="s">
        <v>82</v>
      </c>
      <c r="E44" s="24">
        <f>914980+10876+7901</f>
        <v>933757</v>
      </c>
      <c r="F44" s="25">
        <f t="shared" si="9"/>
        <v>933757</v>
      </c>
      <c r="G44" s="25">
        <v>740967</v>
      </c>
      <c r="H44" s="25">
        <v>0</v>
      </c>
      <c r="I44" s="25">
        <v>0</v>
      </c>
      <c r="J44" s="24">
        <v>49295</v>
      </c>
      <c r="K44" s="25">
        <v>49295</v>
      </c>
      <c r="L44" s="25">
        <v>0</v>
      </c>
      <c r="M44" s="25">
        <v>0</v>
      </c>
      <c r="N44" s="25">
        <v>0</v>
      </c>
      <c r="O44" s="25">
        <v>49295</v>
      </c>
      <c r="P44" s="24">
        <f t="shared" si="1"/>
        <v>983052</v>
      </c>
    </row>
    <row r="45" spans="1:16" ht="38.25" x14ac:dyDescent="0.2">
      <c r="A45" s="3" t="s">
        <v>83</v>
      </c>
      <c r="B45" s="3" t="s">
        <v>84</v>
      </c>
      <c r="C45" s="3" t="s">
        <v>85</v>
      </c>
      <c r="D45" s="5" t="s">
        <v>86</v>
      </c>
      <c r="E45" s="24">
        <f>4083431+212836+500070+813999+38161+12104+109529+337271</f>
        <v>6107401</v>
      </c>
      <c r="F45" s="25">
        <f t="shared" si="9"/>
        <v>6107401</v>
      </c>
      <c r="G45" s="25">
        <f>2815248+75483</f>
        <v>2890731</v>
      </c>
      <c r="H45" s="25">
        <f>612519+495000+389025</f>
        <v>1496544</v>
      </c>
      <c r="I45" s="25">
        <v>0</v>
      </c>
      <c r="J45" s="24">
        <f>80960+87500</f>
        <v>168460</v>
      </c>
      <c r="K45" s="25">
        <f>80960+87500</f>
        <v>168460</v>
      </c>
      <c r="L45" s="25">
        <v>0</v>
      </c>
      <c r="M45" s="25">
        <v>0</v>
      </c>
      <c r="N45" s="25">
        <v>0</v>
      </c>
      <c r="O45" s="25">
        <f>80960+87500</f>
        <v>168460</v>
      </c>
      <c r="P45" s="24">
        <f t="shared" si="1"/>
        <v>6275861</v>
      </c>
    </row>
    <row r="46" spans="1:16" ht="15.75" customHeight="1" x14ac:dyDescent="0.2">
      <c r="A46" s="8" t="s">
        <v>163</v>
      </c>
      <c r="B46" s="12">
        <v>4082</v>
      </c>
      <c r="C46" s="8" t="s">
        <v>165</v>
      </c>
      <c r="D46" s="5" t="s">
        <v>164</v>
      </c>
      <c r="E46" s="24">
        <v>11500</v>
      </c>
      <c r="F46" s="25">
        <f t="shared" si="9"/>
        <v>11500</v>
      </c>
      <c r="G46" s="25"/>
      <c r="H46" s="25"/>
      <c r="I46" s="25"/>
      <c r="J46" s="24"/>
      <c r="K46" s="25"/>
      <c r="L46" s="25"/>
      <c r="M46" s="25"/>
      <c r="N46" s="25"/>
      <c r="O46" s="25"/>
      <c r="P46" s="24">
        <f t="shared" si="1"/>
        <v>11500</v>
      </c>
    </row>
    <row r="47" spans="1:16" ht="31.5" x14ac:dyDescent="0.2">
      <c r="A47" s="19" t="s">
        <v>87</v>
      </c>
      <c r="B47" s="19" t="s">
        <v>20</v>
      </c>
      <c r="C47" s="19" t="s">
        <v>20</v>
      </c>
      <c r="D47" s="20" t="s">
        <v>88</v>
      </c>
      <c r="E47" s="17">
        <f>E48</f>
        <v>11393233</v>
      </c>
      <c r="F47" s="17">
        <f t="shared" ref="F47:G47" si="10">F48</f>
        <v>11393233</v>
      </c>
      <c r="G47" s="17">
        <f t="shared" si="10"/>
        <v>6704879</v>
      </c>
      <c r="H47" s="18">
        <v>0</v>
      </c>
      <c r="I47" s="18">
        <v>0</v>
      </c>
      <c r="J47" s="17">
        <v>0</v>
      </c>
      <c r="K47" s="18">
        <v>0</v>
      </c>
      <c r="L47" s="18">
        <v>0</v>
      </c>
      <c r="M47" s="18">
        <v>0</v>
      </c>
      <c r="N47" s="18">
        <v>0</v>
      </c>
      <c r="O47" s="18">
        <v>0</v>
      </c>
      <c r="P47" s="17">
        <f t="shared" si="1"/>
        <v>11393233</v>
      </c>
    </row>
    <row r="48" spans="1:16" ht="31.5" x14ac:dyDescent="0.2">
      <c r="A48" s="19" t="s">
        <v>89</v>
      </c>
      <c r="B48" s="19" t="s">
        <v>20</v>
      </c>
      <c r="C48" s="19" t="s">
        <v>20</v>
      </c>
      <c r="D48" s="20" t="s">
        <v>88</v>
      </c>
      <c r="E48" s="17">
        <f>E49+E50+E51+E52+E53+E54+E55+E56+E57+E58</f>
        <v>11393233</v>
      </c>
      <c r="F48" s="17">
        <f>F49+F50+F51+F52+F53+F54+F55+F56+F57+F58</f>
        <v>11393233</v>
      </c>
      <c r="G48" s="17">
        <f>G49+G50+G51+G52+G53+G54+G55+G56+G57+G58</f>
        <v>6704879</v>
      </c>
      <c r="H48" s="17">
        <f>H49+H50+H51+H52+H53+H54+H55+H56+H57+H58</f>
        <v>0</v>
      </c>
      <c r="I48" s="17">
        <f>I49+I50+I51+I52+I53+I54+I55+I56+I57+I58</f>
        <v>0</v>
      </c>
      <c r="J48" s="17">
        <v>0</v>
      </c>
      <c r="K48" s="18">
        <v>0</v>
      </c>
      <c r="L48" s="18">
        <v>0</v>
      </c>
      <c r="M48" s="18">
        <v>0</v>
      </c>
      <c r="N48" s="18">
        <v>0</v>
      </c>
      <c r="O48" s="18">
        <v>0</v>
      </c>
      <c r="P48" s="17">
        <f t="shared" si="1"/>
        <v>11393233</v>
      </c>
    </row>
    <row r="49" spans="1:16" ht="38.25" x14ac:dyDescent="0.2">
      <c r="A49" s="3" t="s">
        <v>90</v>
      </c>
      <c r="B49" s="3" t="s">
        <v>55</v>
      </c>
      <c r="C49" s="3" t="s">
        <v>25</v>
      </c>
      <c r="D49" s="5" t="s">
        <v>56</v>
      </c>
      <c r="E49" s="24">
        <f>4467171+36000+356906</f>
        <v>4860077</v>
      </c>
      <c r="F49" s="25">
        <f>E49</f>
        <v>4860077</v>
      </c>
      <c r="G49" s="25">
        <f>3617584+247461</f>
        <v>3865045</v>
      </c>
      <c r="H49" s="25">
        <v>0</v>
      </c>
      <c r="I49" s="25">
        <v>0</v>
      </c>
      <c r="J49" s="24">
        <v>0</v>
      </c>
      <c r="K49" s="25">
        <v>0</v>
      </c>
      <c r="L49" s="25">
        <v>0</v>
      </c>
      <c r="M49" s="25">
        <v>0</v>
      </c>
      <c r="N49" s="25">
        <v>0</v>
      </c>
      <c r="O49" s="25">
        <v>0</v>
      </c>
      <c r="P49" s="24">
        <f t="shared" si="1"/>
        <v>4860077</v>
      </c>
    </row>
    <row r="50" spans="1:16" ht="38.25" x14ac:dyDescent="0.2">
      <c r="A50" s="3" t="s">
        <v>91</v>
      </c>
      <c r="B50" s="3" t="s">
        <v>92</v>
      </c>
      <c r="C50" s="3" t="s">
        <v>93</v>
      </c>
      <c r="D50" s="5" t="s">
        <v>94</v>
      </c>
      <c r="E50" s="24">
        <v>11600</v>
      </c>
      <c r="F50" s="25">
        <f t="shared" ref="F50:F58" si="11">E50</f>
        <v>11600</v>
      </c>
      <c r="G50" s="25">
        <v>0</v>
      </c>
      <c r="H50" s="25">
        <v>0</v>
      </c>
      <c r="I50" s="25">
        <v>0</v>
      </c>
      <c r="J50" s="24">
        <v>0</v>
      </c>
      <c r="K50" s="25">
        <v>0</v>
      </c>
      <c r="L50" s="25">
        <v>0</v>
      </c>
      <c r="M50" s="25">
        <v>0</v>
      </c>
      <c r="N50" s="25">
        <v>0</v>
      </c>
      <c r="O50" s="25">
        <v>0</v>
      </c>
      <c r="P50" s="24">
        <f t="shared" si="1"/>
        <v>11600</v>
      </c>
    </row>
    <row r="51" spans="1:16" ht="38.25" x14ac:dyDescent="0.2">
      <c r="A51" s="3" t="s">
        <v>95</v>
      </c>
      <c r="B51" s="3" t="s">
        <v>96</v>
      </c>
      <c r="C51" s="3" t="s">
        <v>93</v>
      </c>
      <c r="D51" s="5" t="s">
        <v>97</v>
      </c>
      <c r="E51" s="24">
        <f>43300-40600</f>
        <v>2700</v>
      </c>
      <c r="F51" s="25">
        <f t="shared" si="11"/>
        <v>2700</v>
      </c>
      <c r="G51" s="25">
        <v>0</v>
      </c>
      <c r="H51" s="25">
        <v>0</v>
      </c>
      <c r="I51" s="25">
        <v>0</v>
      </c>
      <c r="J51" s="24">
        <v>0</v>
      </c>
      <c r="K51" s="25">
        <v>0</v>
      </c>
      <c r="L51" s="25">
        <v>0</v>
      </c>
      <c r="M51" s="25">
        <v>0</v>
      </c>
      <c r="N51" s="25">
        <v>0</v>
      </c>
      <c r="O51" s="25">
        <v>0</v>
      </c>
      <c r="P51" s="24">
        <f t="shared" si="1"/>
        <v>2700</v>
      </c>
    </row>
    <row r="52" spans="1:16" ht="25.5" x14ac:dyDescent="0.2">
      <c r="A52" s="3" t="s">
        <v>98</v>
      </c>
      <c r="B52" s="3" t="s">
        <v>99</v>
      </c>
      <c r="C52" s="3" t="s">
        <v>100</v>
      </c>
      <c r="D52" s="5" t="s">
        <v>101</v>
      </c>
      <c r="E52" s="24">
        <v>9444</v>
      </c>
      <c r="F52" s="25">
        <f t="shared" si="11"/>
        <v>9444</v>
      </c>
      <c r="G52" s="25">
        <v>0</v>
      </c>
      <c r="H52" s="25">
        <v>0</v>
      </c>
      <c r="I52" s="25">
        <v>0</v>
      </c>
      <c r="J52" s="24">
        <v>0</v>
      </c>
      <c r="K52" s="25">
        <v>0</v>
      </c>
      <c r="L52" s="25">
        <v>0</v>
      </c>
      <c r="M52" s="25">
        <v>0</v>
      </c>
      <c r="N52" s="25">
        <v>0</v>
      </c>
      <c r="O52" s="25">
        <v>0</v>
      </c>
      <c r="P52" s="24">
        <f t="shared" si="1"/>
        <v>9444</v>
      </c>
    </row>
    <row r="53" spans="1:16" ht="78.75" customHeight="1" x14ac:dyDescent="0.2">
      <c r="A53" s="9">
        <v>813121</v>
      </c>
      <c r="B53" s="9">
        <v>3121</v>
      </c>
      <c r="C53" s="9">
        <v>1040</v>
      </c>
      <c r="D53" s="5" t="s">
        <v>155</v>
      </c>
      <c r="E53" s="24">
        <f>2649965+807439</f>
        <v>3457404</v>
      </c>
      <c r="F53" s="25">
        <f t="shared" si="11"/>
        <v>3457404</v>
      </c>
      <c r="G53" s="25">
        <f>2129555+634750</f>
        <v>2764305</v>
      </c>
      <c r="H53" s="25"/>
      <c r="I53" s="25"/>
      <c r="J53" s="24"/>
      <c r="K53" s="25"/>
      <c r="L53" s="25"/>
      <c r="M53" s="25"/>
      <c r="N53" s="25"/>
      <c r="O53" s="25"/>
      <c r="P53" s="24">
        <f t="shared" si="1"/>
        <v>3457404</v>
      </c>
    </row>
    <row r="54" spans="1:16" ht="76.5" x14ac:dyDescent="0.2">
      <c r="A54" s="3" t="s">
        <v>102</v>
      </c>
      <c r="B54" s="3" t="s">
        <v>103</v>
      </c>
      <c r="C54" s="3" t="s">
        <v>58</v>
      </c>
      <c r="D54" s="5" t="s">
        <v>104</v>
      </c>
      <c r="E54" s="24">
        <v>452500</v>
      </c>
      <c r="F54" s="25">
        <f t="shared" si="11"/>
        <v>452500</v>
      </c>
      <c r="G54" s="25">
        <v>0</v>
      </c>
      <c r="H54" s="25">
        <v>0</v>
      </c>
      <c r="I54" s="25">
        <v>0</v>
      </c>
      <c r="J54" s="24">
        <v>0</v>
      </c>
      <c r="K54" s="25">
        <v>0</v>
      </c>
      <c r="L54" s="25">
        <v>0</v>
      </c>
      <c r="M54" s="25">
        <v>0</v>
      </c>
      <c r="N54" s="25">
        <v>0</v>
      </c>
      <c r="O54" s="25">
        <v>0</v>
      </c>
      <c r="P54" s="24">
        <f t="shared" si="1"/>
        <v>452500</v>
      </c>
    </row>
    <row r="55" spans="1:16" ht="51" x14ac:dyDescent="0.2">
      <c r="A55" s="3" t="s">
        <v>105</v>
      </c>
      <c r="B55" s="3" t="s">
        <v>106</v>
      </c>
      <c r="C55" s="3" t="s">
        <v>58</v>
      </c>
      <c r="D55" s="5" t="s">
        <v>107</v>
      </c>
      <c r="E55" s="24">
        <v>4100</v>
      </c>
      <c r="F55" s="25">
        <f t="shared" si="11"/>
        <v>4100</v>
      </c>
      <c r="G55" s="25">
        <v>0</v>
      </c>
      <c r="H55" s="25">
        <v>0</v>
      </c>
      <c r="I55" s="25">
        <v>0</v>
      </c>
      <c r="J55" s="24">
        <v>0</v>
      </c>
      <c r="K55" s="25">
        <v>0</v>
      </c>
      <c r="L55" s="25">
        <v>0</v>
      </c>
      <c r="M55" s="25">
        <v>0</v>
      </c>
      <c r="N55" s="25">
        <v>0</v>
      </c>
      <c r="O55" s="25">
        <v>0</v>
      </c>
      <c r="P55" s="24">
        <f t="shared" si="1"/>
        <v>4100</v>
      </c>
    </row>
    <row r="56" spans="1:16" ht="28.5" customHeight="1" x14ac:dyDescent="0.2">
      <c r="A56" s="3" t="s">
        <v>108</v>
      </c>
      <c r="B56" s="3" t="s">
        <v>109</v>
      </c>
      <c r="C56" s="3" t="s">
        <v>100</v>
      </c>
      <c r="D56" s="5" t="s">
        <v>110</v>
      </c>
      <c r="E56" s="24">
        <f>961545+40600+70000</f>
        <v>1072145</v>
      </c>
      <c r="F56" s="25">
        <f t="shared" si="11"/>
        <v>1072145</v>
      </c>
      <c r="G56" s="25">
        <v>0</v>
      </c>
      <c r="H56" s="25">
        <v>0</v>
      </c>
      <c r="I56" s="25">
        <v>0</v>
      </c>
      <c r="J56" s="24">
        <v>0</v>
      </c>
      <c r="K56" s="25">
        <v>0</v>
      </c>
      <c r="L56" s="25">
        <v>0</v>
      </c>
      <c r="M56" s="25">
        <v>0</v>
      </c>
      <c r="N56" s="25">
        <v>0</v>
      </c>
      <c r="O56" s="25">
        <v>0</v>
      </c>
      <c r="P56" s="24">
        <f t="shared" si="1"/>
        <v>1072145</v>
      </c>
    </row>
    <row r="57" spans="1:16" ht="63" customHeight="1" x14ac:dyDescent="0.2">
      <c r="A57" s="3">
        <v>813193</v>
      </c>
      <c r="B57" s="3">
        <v>3193</v>
      </c>
      <c r="C57" s="3">
        <v>1030</v>
      </c>
      <c r="D57" s="5" t="s">
        <v>176</v>
      </c>
      <c r="E57" s="24">
        <v>92145</v>
      </c>
      <c r="F57" s="25">
        <f t="shared" si="11"/>
        <v>92145</v>
      </c>
      <c r="G57" s="25">
        <v>75529</v>
      </c>
      <c r="H57" s="25">
        <v>0</v>
      </c>
      <c r="I57" s="25">
        <v>0</v>
      </c>
      <c r="J57" s="24">
        <v>0</v>
      </c>
      <c r="K57" s="25">
        <v>0</v>
      </c>
      <c r="L57" s="25">
        <v>0</v>
      </c>
      <c r="M57" s="25">
        <v>0</v>
      </c>
      <c r="N57" s="25">
        <v>0</v>
      </c>
      <c r="O57" s="25">
        <v>0</v>
      </c>
      <c r="P57" s="24">
        <f t="shared" si="1"/>
        <v>92145</v>
      </c>
    </row>
    <row r="58" spans="1:16" ht="25.5" x14ac:dyDescent="0.2">
      <c r="A58" s="27" t="s">
        <v>111</v>
      </c>
      <c r="B58" s="3" t="s">
        <v>112</v>
      </c>
      <c r="C58" s="16">
        <v>1090</v>
      </c>
      <c r="D58" s="5" t="s">
        <v>113</v>
      </c>
      <c r="E58" s="24">
        <f>705718+260000+442500+22900</f>
        <v>1431118</v>
      </c>
      <c r="F58" s="25">
        <f t="shared" si="11"/>
        <v>1431118</v>
      </c>
      <c r="G58" s="25">
        <v>0</v>
      </c>
      <c r="H58" s="25">
        <v>0</v>
      </c>
      <c r="I58" s="25">
        <v>0</v>
      </c>
      <c r="J58" s="24">
        <v>0</v>
      </c>
      <c r="K58" s="25">
        <v>0</v>
      </c>
      <c r="L58" s="25">
        <v>0</v>
      </c>
      <c r="M58" s="25">
        <v>0</v>
      </c>
      <c r="N58" s="25">
        <v>0</v>
      </c>
      <c r="O58" s="25">
        <v>0</v>
      </c>
      <c r="P58" s="24">
        <f t="shared" si="1"/>
        <v>1431118</v>
      </c>
    </row>
    <row r="59" spans="1:16" ht="31.5" x14ac:dyDescent="0.2">
      <c r="A59" s="19" t="s">
        <v>114</v>
      </c>
      <c r="B59" s="19" t="s">
        <v>20</v>
      </c>
      <c r="C59" s="19" t="s">
        <v>20</v>
      </c>
      <c r="D59" s="20" t="s">
        <v>115</v>
      </c>
      <c r="E59" s="17">
        <f>E60</f>
        <v>2513598</v>
      </c>
      <c r="F59" s="17">
        <f t="shared" ref="F59:G59" si="12">F60</f>
        <v>2513598</v>
      </c>
      <c r="G59" s="17">
        <f t="shared" si="12"/>
        <v>2022644</v>
      </c>
      <c r="H59" s="18">
        <v>0</v>
      </c>
      <c r="I59" s="18">
        <v>0</v>
      </c>
      <c r="J59" s="17">
        <f>J60</f>
        <v>23000</v>
      </c>
      <c r="K59" s="18">
        <f>K60</f>
        <v>23000</v>
      </c>
      <c r="L59" s="18">
        <v>0</v>
      </c>
      <c r="M59" s="18">
        <v>0</v>
      </c>
      <c r="N59" s="18">
        <v>0</v>
      </c>
      <c r="O59" s="18">
        <f>O60</f>
        <v>23000</v>
      </c>
      <c r="P59" s="17">
        <f t="shared" si="1"/>
        <v>2536598</v>
      </c>
    </row>
    <row r="60" spans="1:16" ht="31.5" x14ac:dyDescent="0.2">
      <c r="A60" s="19" t="s">
        <v>116</v>
      </c>
      <c r="B60" s="19" t="s">
        <v>20</v>
      </c>
      <c r="C60" s="19" t="s">
        <v>20</v>
      </c>
      <c r="D60" s="20" t="s">
        <v>115</v>
      </c>
      <c r="E60" s="17">
        <f>E61</f>
        <v>2513598</v>
      </c>
      <c r="F60" s="17">
        <f t="shared" ref="F60:G60" si="13">F61</f>
        <v>2513598</v>
      </c>
      <c r="G60" s="17">
        <f t="shared" si="13"/>
        <v>2022644</v>
      </c>
      <c r="H60" s="18">
        <v>0</v>
      </c>
      <c r="I60" s="18">
        <v>0</v>
      </c>
      <c r="J60" s="17">
        <f>J61</f>
        <v>23000</v>
      </c>
      <c r="K60" s="18">
        <f>K61</f>
        <v>23000</v>
      </c>
      <c r="L60" s="18">
        <v>0</v>
      </c>
      <c r="M60" s="18">
        <v>0</v>
      </c>
      <c r="N60" s="18">
        <v>0</v>
      </c>
      <c r="O60" s="18">
        <f>O61</f>
        <v>23000</v>
      </c>
      <c r="P60" s="17">
        <f t="shared" si="1"/>
        <v>2536598</v>
      </c>
    </row>
    <row r="61" spans="1:16" ht="38.25" x14ac:dyDescent="0.2">
      <c r="A61" s="3" t="s">
        <v>117</v>
      </c>
      <c r="B61" s="3" t="s">
        <v>55</v>
      </c>
      <c r="C61" s="3" t="s">
        <v>25</v>
      </c>
      <c r="D61" s="5" t="s">
        <v>56</v>
      </c>
      <c r="E61" s="24">
        <f>2202595+1834+309169</f>
        <v>2513598</v>
      </c>
      <c r="F61" s="25">
        <f>E61</f>
        <v>2513598</v>
      </c>
      <c r="G61" s="25">
        <f>1779472+243172</f>
        <v>2022644</v>
      </c>
      <c r="H61" s="25">
        <v>0</v>
      </c>
      <c r="I61" s="25">
        <v>0</v>
      </c>
      <c r="J61" s="24">
        <v>23000</v>
      </c>
      <c r="K61" s="25">
        <v>23000</v>
      </c>
      <c r="L61" s="25">
        <v>0</v>
      </c>
      <c r="M61" s="25">
        <v>0</v>
      </c>
      <c r="N61" s="25">
        <v>0</v>
      </c>
      <c r="O61" s="25">
        <v>23000</v>
      </c>
      <c r="P61" s="24">
        <f t="shared" si="1"/>
        <v>2536598</v>
      </c>
    </row>
    <row r="62" spans="1:16" ht="31.5" x14ac:dyDescent="0.2">
      <c r="A62" s="19" t="s">
        <v>118</v>
      </c>
      <c r="B62" s="19" t="s">
        <v>20</v>
      </c>
      <c r="C62" s="19" t="s">
        <v>20</v>
      </c>
      <c r="D62" s="20" t="s">
        <v>119</v>
      </c>
      <c r="E62" s="17">
        <f>E63</f>
        <v>13099247</v>
      </c>
      <c r="F62" s="17">
        <f t="shared" ref="F62:O62" si="14">F63</f>
        <v>10020537</v>
      </c>
      <c r="G62" s="17">
        <f t="shared" si="14"/>
        <v>2109657</v>
      </c>
      <c r="H62" s="17">
        <f t="shared" si="14"/>
        <v>0</v>
      </c>
      <c r="I62" s="17">
        <f t="shared" si="14"/>
        <v>2750000</v>
      </c>
      <c r="J62" s="17">
        <f t="shared" si="14"/>
        <v>133000</v>
      </c>
      <c r="K62" s="17">
        <f t="shared" si="14"/>
        <v>133000</v>
      </c>
      <c r="L62" s="17">
        <f t="shared" si="14"/>
        <v>0</v>
      </c>
      <c r="M62" s="17">
        <f t="shared" si="14"/>
        <v>0</v>
      </c>
      <c r="N62" s="17">
        <f t="shared" si="14"/>
        <v>0</v>
      </c>
      <c r="O62" s="17">
        <f t="shared" si="14"/>
        <v>133000</v>
      </c>
      <c r="P62" s="17">
        <f t="shared" si="1"/>
        <v>13232247</v>
      </c>
    </row>
    <row r="63" spans="1:16" ht="31.5" x14ac:dyDescent="0.2">
      <c r="A63" s="19" t="s">
        <v>120</v>
      </c>
      <c r="B63" s="19" t="s">
        <v>20</v>
      </c>
      <c r="C63" s="19" t="s">
        <v>20</v>
      </c>
      <c r="D63" s="20" t="s">
        <v>119</v>
      </c>
      <c r="E63" s="17">
        <f>E64+E66+E67+E68+E65</f>
        <v>13099247</v>
      </c>
      <c r="F63" s="17">
        <f>F64+F66+F67+F68+F65</f>
        <v>10020537</v>
      </c>
      <c r="G63" s="17">
        <f t="shared" ref="G63:O63" si="15">G64+G66+G67+G68</f>
        <v>2109657</v>
      </c>
      <c r="H63" s="17">
        <f t="shared" si="15"/>
        <v>0</v>
      </c>
      <c r="I63" s="17">
        <f t="shared" si="15"/>
        <v>2750000</v>
      </c>
      <c r="J63" s="17">
        <f t="shared" si="15"/>
        <v>133000</v>
      </c>
      <c r="K63" s="17">
        <f t="shared" si="15"/>
        <v>133000</v>
      </c>
      <c r="L63" s="17">
        <f t="shared" si="15"/>
        <v>0</v>
      </c>
      <c r="M63" s="17">
        <f t="shared" si="15"/>
        <v>0</v>
      </c>
      <c r="N63" s="17">
        <f t="shared" si="15"/>
        <v>0</v>
      </c>
      <c r="O63" s="17">
        <f t="shared" si="15"/>
        <v>133000</v>
      </c>
      <c r="P63" s="17">
        <f t="shared" si="1"/>
        <v>13232247</v>
      </c>
    </row>
    <row r="64" spans="1:16" ht="38.25" x14ac:dyDescent="0.2">
      <c r="A64" s="3" t="s">
        <v>121</v>
      </c>
      <c r="B64" s="3" t="s">
        <v>55</v>
      </c>
      <c r="C64" s="3" t="s">
        <v>25</v>
      </c>
      <c r="D64" s="5" t="s">
        <v>56</v>
      </c>
      <c r="E64" s="24">
        <f>2629482</f>
        <v>2629482</v>
      </c>
      <c r="F64" s="25">
        <f>E64</f>
        <v>2629482</v>
      </c>
      <c r="G64" s="25">
        <v>2109657</v>
      </c>
      <c r="H64" s="25">
        <v>0</v>
      </c>
      <c r="I64" s="25">
        <v>0</v>
      </c>
      <c r="J64" s="24">
        <v>0</v>
      </c>
      <c r="K64" s="25">
        <v>0</v>
      </c>
      <c r="L64" s="25">
        <v>0</v>
      </c>
      <c r="M64" s="25">
        <v>0</v>
      </c>
      <c r="N64" s="25">
        <v>0</v>
      </c>
      <c r="O64" s="25">
        <v>0</v>
      </c>
      <c r="P64" s="24">
        <f t="shared" si="1"/>
        <v>2629482</v>
      </c>
    </row>
    <row r="65" spans="1:16" ht="18" customHeight="1" x14ac:dyDescent="0.2">
      <c r="A65" s="11" t="s">
        <v>159</v>
      </c>
      <c r="B65" s="11" t="s">
        <v>160</v>
      </c>
      <c r="C65" s="11" t="s">
        <v>128</v>
      </c>
      <c r="D65" s="5" t="s">
        <v>161</v>
      </c>
      <c r="E65" s="24">
        <f>10686200-1453000-9233200</f>
        <v>0</v>
      </c>
      <c r="F65" s="24">
        <f>10686200-1453000-9233200</f>
        <v>0</v>
      </c>
      <c r="G65" s="25">
        <v>0</v>
      </c>
      <c r="H65" s="25">
        <v>0</v>
      </c>
      <c r="I65" s="25">
        <v>0</v>
      </c>
      <c r="J65" s="24">
        <v>0</v>
      </c>
      <c r="K65" s="25">
        <v>0</v>
      </c>
      <c r="L65" s="25">
        <v>0</v>
      </c>
      <c r="M65" s="25">
        <v>0</v>
      </c>
      <c r="N65" s="25">
        <v>0</v>
      </c>
      <c r="O65" s="25">
        <v>0</v>
      </c>
      <c r="P65" s="24">
        <f t="shared" si="1"/>
        <v>0</v>
      </c>
    </row>
    <row r="66" spans="1:16" ht="15.75" customHeight="1" x14ac:dyDescent="0.2">
      <c r="A66" s="3" t="s">
        <v>122</v>
      </c>
      <c r="B66" s="3" t="s">
        <v>123</v>
      </c>
      <c r="C66" s="3" t="s">
        <v>124</v>
      </c>
      <c r="D66" s="5" t="s">
        <v>125</v>
      </c>
      <c r="E66" s="24">
        <v>328710</v>
      </c>
      <c r="F66" s="26"/>
      <c r="G66" s="25">
        <v>0</v>
      </c>
      <c r="H66" s="25">
        <v>0</v>
      </c>
      <c r="I66" s="25">
        <v>0</v>
      </c>
      <c r="J66" s="24">
        <v>0</v>
      </c>
      <c r="K66" s="25">
        <v>0</v>
      </c>
      <c r="L66" s="25">
        <v>0</v>
      </c>
      <c r="M66" s="25">
        <v>0</v>
      </c>
      <c r="N66" s="25">
        <v>0</v>
      </c>
      <c r="O66" s="25">
        <v>0</v>
      </c>
      <c r="P66" s="24">
        <f t="shared" si="1"/>
        <v>328710</v>
      </c>
    </row>
    <row r="67" spans="1:16" ht="14.25" customHeight="1" x14ac:dyDescent="0.2">
      <c r="A67" s="3" t="s">
        <v>126</v>
      </c>
      <c r="B67" s="3" t="s">
        <v>127</v>
      </c>
      <c r="C67" s="3" t="s">
        <v>128</v>
      </c>
      <c r="D67" s="5" t="s">
        <v>129</v>
      </c>
      <c r="E67" s="24">
        <f>5247077+308104+120817+2698+109225+469754-8000</f>
        <v>6249675</v>
      </c>
      <c r="F67" s="25">
        <f>E67</f>
        <v>6249675</v>
      </c>
      <c r="G67" s="25">
        <v>0</v>
      </c>
      <c r="H67" s="25">
        <v>0</v>
      </c>
      <c r="I67" s="25"/>
      <c r="J67" s="24">
        <v>8000</v>
      </c>
      <c r="K67" s="25">
        <f>8000</f>
        <v>8000</v>
      </c>
      <c r="L67" s="25">
        <v>0</v>
      </c>
      <c r="M67" s="25">
        <v>0</v>
      </c>
      <c r="N67" s="25">
        <v>0</v>
      </c>
      <c r="O67" s="25">
        <v>8000</v>
      </c>
      <c r="P67" s="24">
        <f t="shared" si="1"/>
        <v>6257675</v>
      </c>
    </row>
    <row r="68" spans="1:16" ht="43.5" customHeight="1" x14ac:dyDescent="0.2">
      <c r="A68" s="9">
        <v>3719800</v>
      </c>
      <c r="B68" s="9">
        <v>9800</v>
      </c>
      <c r="C68" s="9">
        <v>180</v>
      </c>
      <c r="D68" s="5" t="s">
        <v>156</v>
      </c>
      <c r="E68" s="24">
        <f>2215400+1600000+32900+43080</f>
        <v>3891380</v>
      </c>
      <c r="F68" s="25">
        <f>465400+600000+32900+43080</f>
        <v>1141380</v>
      </c>
      <c r="G68" s="25"/>
      <c r="H68" s="25"/>
      <c r="I68" s="25">
        <f>1750000+1000000</f>
        <v>2750000</v>
      </c>
      <c r="J68" s="24">
        <v>125000</v>
      </c>
      <c r="K68" s="25">
        <v>125000</v>
      </c>
      <c r="L68" s="25"/>
      <c r="M68" s="25"/>
      <c r="N68" s="25"/>
      <c r="O68" s="25">
        <v>125000</v>
      </c>
      <c r="P68" s="24">
        <f t="shared" si="1"/>
        <v>4016380</v>
      </c>
    </row>
    <row r="69" spans="1:16" ht="23.25" customHeight="1" x14ac:dyDescent="0.2">
      <c r="A69" s="21" t="s">
        <v>131</v>
      </c>
      <c r="B69" s="21" t="s">
        <v>131</v>
      </c>
      <c r="C69" s="21" t="s">
        <v>131</v>
      </c>
      <c r="D69" s="22" t="s">
        <v>130</v>
      </c>
      <c r="E69" s="23">
        <f t="shared" ref="E69:O69" si="16">E15+E29+E47+E59+E62</f>
        <v>174317587</v>
      </c>
      <c r="F69" s="23">
        <f t="shared" si="16"/>
        <v>171238877</v>
      </c>
      <c r="G69" s="23">
        <f t="shared" si="16"/>
        <v>107123858</v>
      </c>
      <c r="H69" s="23">
        <f t="shared" si="16"/>
        <v>7692617</v>
      </c>
      <c r="I69" s="23">
        <f t="shared" si="16"/>
        <v>2750000</v>
      </c>
      <c r="J69" s="23">
        <f t="shared" si="16"/>
        <v>22187413</v>
      </c>
      <c r="K69" s="23">
        <f t="shared" si="16"/>
        <v>21459113</v>
      </c>
      <c r="L69" s="23">
        <f t="shared" si="16"/>
        <v>678300</v>
      </c>
      <c r="M69" s="23">
        <f t="shared" si="16"/>
        <v>39262</v>
      </c>
      <c r="N69" s="23">
        <f t="shared" si="16"/>
        <v>0</v>
      </c>
      <c r="O69" s="23">
        <f t="shared" si="16"/>
        <v>21509113</v>
      </c>
      <c r="P69" s="23">
        <f>E69 + J69</f>
        <v>196505000</v>
      </c>
    </row>
    <row r="70" spans="1:16" hidden="1" x14ac:dyDescent="0.2"/>
    <row r="71" spans="1:16" hidden="1" x14ac:dyDescent="0.2">
      <c r="A71" s="37"/>
      <c r="B71" s="37"/>
      <c r="C71" s="37"/>
      <c r="D71" s="37"/>
      <c r="E71" s="37"/>
      <c r="F71" s="37"/>
      <c r="G71" s="37"/>
      <c r="H71" s="37"/>
      <c r="I71" s="37"/>
      <c r="J71" s="37"/>
      <c r="K71" s="37"/>
      <c r="L71" s="37"/>
      <c r="M71" s="37"/>
      <c r="N71" s="37"/>
      <c r="O71" s="37"/>
      <c r="P71" s="37"/>
    </row>
    <row r="72" spans="1:16" hidden="1" x14ac:dyDescent="0.2"/>
    <row r="73" spans="1:16" ht="15.75" x14ac:dyDescent="0.25">
      <c r="A73" s="28" t="s">
        <v>133</v>
      </c>
      <c r="B73" s="28"/>
      <c r="C73" s="28"/>
    </row>
    <row r="74" spans="1:16" ht="15.75" x14ac:dyDescent="0.25">
      <c r="A74" s="28" t="s">
        <v>134</v>
      </c>
      <c r="B74" s="28"/>
      <c r="C74" s="28"/>
    </row>
    <row r="75" spans="1:16" ht="15.75" x14ac:dyDescent="0.25">
      <c r="A75" s="28" t="s">
        <v>135</v>
      </c>
      <c r="B75" s="28"/>
      <c r="C75" s="28"/>
      <c r="H75" s="28" t="s">
        <v>137</v>
      </c>
      <c r="I75" s="28"/>
    </row>
    <row r="76" spans="1:16" ht="15.75" x14ac:dyDescent="0.25">
      <c r="H76" s="7"/>
      <c r="I76" s="7"/>
    </row>
    <row r="77" spans="1:16" ht="15.75" hidden="1" x14ac:dyDescent="0.25">
      <c r="H77" s="7"/>
      <c r="I77" s="7"/>
    </row>
    <row r="78" spans="1:16" ht="15.75" x14ac:dyDescent="0.25">
      <c r="A78" s="28" t="s">
        <v>136</v>
      </c>
      <c r="B78" s="28"/>
      <c r="C78" s="28"/>
      <c r="H78" s="28" t="s">
        <v>138</v>
      </c>
      <c r="I78" s="28"/>
    </row>
  </sheetData>
  <mergeCells count="34">
    <mergeCell ref="A71:P71"/>
    <mergeCell ref="G12:G13"/>
    <mergeCell ref="H12:H13"/>
    <mergeCell ref="I11:I13"/>
    <mergeCell ref="J10:O10"/>
    <mergeCell ref="J11:J13"/>
    <mergeCell ref="K11:K13"/>
    <mergeCell ref="L11:L13"/>
    <mergeCell ref="M11:N11"/>
    <mergeCell ref="M12:M13"/>
    <mergeCell ref="N12:N13"/>
    <mergeCell ref="A6:P6"/>
    <mergeCell ref="A7:P7"/>
    <mergeCell ref="A10:A13"/>
    <mergeCell ref="B10:B13"/>
    <mergeCell ref="C10:C13"/>
    <mergeCell ref="D10:D13"/>
    <mergeCell ref="E10:I10"/>
    <mergeCell ref="E11:E13"/>
    <mergeCell ref="F11:F13"/>
    <mergeCell ref="G11:H11"/>
    <mergeCell ref="O11:O13"/>
    <mergeCell ref="P10:P13"/>
    <mergeCell ref="M1:P1"/>
    <mergeCell ref="M2:P2"/>
    <mergeCell ref="M3:P3"/>
    <mergeCell ref="M5:P5"/>
    <mergeCell ref="M4:P4"/>
    <mergeCell ref="A73:C73"/>
    <mergeCell ref="A74:C74"/>
    <mergeCell ref="A75:C75"/>
    <mergeCell ref="A78:C78"/>
    <mergeCell ref="H75:I75"/>
    <mergeCell ref="H78:I78"/>
  </mergeCells>
  <pageMargins left="0.19685039370078741" right="0.19685039370078741" top="0.98425196850393704" bottom="0.19685039370078741" header="0" footer="0"/>
  <pageSetup paperSize="9" scale="63" fitToHeight="500"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HP</cp:lastModifiedBy>
  <cp:lastPrinted>2025-10-31T06:24:21Z</cp:lastPrinted>
  <dcterms:created xsi:type="dcterms:W3CDTF">2024-12-26T14:49:32Z</dcterms:created>
  <dcterms:modified xsi:type="dcterms:W3CDTF">2025-10-31T06:24:27Z</dcterms:modified>
</cp:coreProperties>
</file>